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13_ncr:1_{6D06F8F4-5924-49FF-95B8-3F5FAF2428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График календарь" sheetId="1" r:id="rId1"/>
  </sheets>
  <definedNames>
    <definedName name="АвгВс1">DATE(КалендарныйГод,8,1)-WEEKDAY(DATE(КалендарныйГод,8,1))</definedName>
    <definedName name="АпрВс1">DATE(КалендарныйГод,4,1)-WEEKDAY(DATE(КалендарныйГод,4,1))</definedName>
    <definedName name="Даты_Диапазона">'График календарь'!$C$5:$AM$5,'График календарь'!$C$11:$AM$11,'График календарь'!$C$17:$AM$17, 'График календарь'!$C$23:$AM$23,'График календарь'!$C$29:$AM$29,'График календарь'!$C$35:$AM$35, 'График календарь'!$C$41:$AM$41,'График календарь'!$C$47:$AM$47,'График календарь'!$C$53:$AM$53, 'График календарь'!$C$59:$AM$59,'График календарь'!$C$65:$AM$65,'График календарь'!$C$71:$AM$71</definedName>
    <definedName name="ДекВс1">DATE(КалендарныйГод,12,1)-WEEKDAY(DATE(КалендарныйГод,12,1))</definedName>
    <definedName name="Дни_Входящие_В_Диапазон">'График календарь'!$C$7:$AM$9,'График календарь'!$C$13:$AM$15,'График календарь'!$C$19:$AM$21, 'График календарь'!$C$25:$AM$27,'График календарь'!$C$31:$AM$33,'График календарь'!$C$37:$AM$39, 'График календарь'!$C$43:$AM$45,'График календарь'!$C$49:$AM$51,'График календарь'!$C$55:$AM$57, 'График календарь'!$C$61:$AM$63,'График календарь'!$C$67:$AM$69,'График календарь'!$C$73:$AM$75</definedName>
    <definedName name="Дни_Недели_Входящие_В_Диапазон">'График календарь'!$C$6:$AM$6,'График календарь'!$C$12:$AM$12,'График календарь'!$C$18:$AM$18, 'График календарь'!$C$24:$AM$24,'График календарь'!$C$30:$AM$30,'График календарь'!$C$36:$AM$36, 'График календарь'!$C$42:$AM$42,'График календарь'!$C$48:$AM$48,'График календарь'!$C$54:$AM$54, 'График календарь'!$C$60:$AM$60,'График календарь'!$C$66:$AM$66,'График календарь'!$C$72:$AM$72</definedName>
    <definedName name="ИюлВс1">DATE(КалендарныйГод,7,1)-WEEKDAY(DATE(КалендарныйГод,7,1))</definedName>
    <definedName name="ИюнВс1">DATE(КалендарныйГод,6,1)-WEEKDAY(DATE(КалендарныйГод,6,1))</definedName>
    <definedName name="КалендарныйГод">'График календарь'!$AH$1</definedName>
    <definedName name="МайВс1">DATE(КалендарныйГод,5,1)-WEEKDAY(DATE(КалендарныйГод,5,1))</definedName>
    <definedName name="МарВс1">DATE(КалендарныйГод,3,1)-WEEKDAY(DATE(КалендарныйГод,3,1))</definedName>
    <definedName name="НояВс1">DATE(КалендарныйГод,11,1)-WEEKDAY(DATE(КалендарныйГод,11,1))</definedName>
    <definedName name="ОктВс1">DATE(КалендарныйГод,10,1)-WEEKDAY(DATE(КалендарныйГод,10,1))</definedName>
    <definedName name="Работа1_ВыходнойДень_Код">#REF!</definedName>
    <definedName name="Работа1_ДатаНачала">#REF!</definedName>
    <definedName name="Работа1_Имя">#REF!</definedName>
    <definedName name="Работа1_Смена1_Код">#REF!</definedName>
    <definedName name="Работа1_Смена2_Код">#REF!</definedName>
    <definedName name="Работа1_Смена3_Код">#REF!</definedName>
    <definedName name="Работа1_Структура">#REF!</definedName>
    <definedName name="Работа2_ВыходнойДень_Код">#REF!</definedName>
    <definedName name="Работа2_ДатаНачала">#REF!</definedName>
    <definedName name="Работа2_Имя">#REF!</definedName>
    <definedName name="Работа2_Смена1_Код">#REF!</definedName>
    <definedName name="Работа2_Смена2_Код">#REF!</definedName>
    <definedName name="Работа2_Смена3_Код">#REF!</definedName>
    <definedName name="Работа2_Структура">#REF!</definedName>
    <definedName name="Работа3_ВыходнойДень_Код">#REF!</definedName>
    <definedName name="Работа3_ДатаНачала">#REF!</definedName>
    <definedName name="Работа3_Имя">#REF!</definedName>
    <definedName name="Работа3_Смена1_Код">#REF!</definedName>
    <definedName name="Работа3_Смена2_Код">#REF!</definedName>
    <definedName name="Работа3_Смена3_Код">#REF!</definedName>
    <definedName name="Работа3_Структура">#REF!</definedName>
    <definedName name="СенВс1">DATE(КалендарныйГод,9,1)-WEEKDAY(DATE(КалендарныйГод,9,1))</definedName>
    <definedName name="ФевВс1">DATE(КалендарныйГод,2,1)-WEEKDAY(DATE(КалендарныйГод,2,1))</definedName>
    <definedName name="ЯнвВс1">DATE(КалендарныйГод,1,1)-WEEKDAY(DATE(КалендарныйГод,1,1))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71" i="1" l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5" i="1"/>
  <c r="C5" i="1"/>
  <c r="B17" i="1"/>
  <c r="B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M5" i="1" l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B5" i="1" l="1"/>
</calcChain>
</file>

<file path=xl/sharedStrings.xml><?xml version="1.0" encoding="utf-8"?>
<sst xmlns="http://schemas.openxmlformats.org/spreadsheetml/2006/main" count="444" uniqueCount="7">
  <si>
    <t>Вс</t>
  </si>
  <si>
    <t>Пн</t>
  </si>
  <si>
    <t>Вт</t>
  </si>
  <si>
    <t>Ср</t>
  </si>
  <si>
    <t>Чт</t>
  </si>
  <si>
    <t>Пт</t>
  </si>
  <si>
    <t>Сб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</si>
</sst>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\ yyyy"/>
    <numFmt numFmtId="166" formatCode=";;;"/>
  </numFmts>
  <fonts count="15" x14ac:knownFonts="1">
    <font>
      <sz val="11"/>
      <color theme="1"/>
      <name val="Franklin Gothic Book"/>
      <family val="2"/>
      <scheme val="minor"/>
    </font>
    <font>
      <sz val="11"/>
      <color theme="0" tint="-0.499984740745262"/>
      <name val="Calibri"/>
      <family val="2"/>
    </font>
    <font>
      <sz val="40"/>
      <color theme="3" tint="-0.499984740745262"/>
      <name val="Franklin Gothic Medium"/>
      <family val="2"/>
      <scheme val="major"/>
    </font>
    <font>
      <b/>
      <sz val="22"/>
      <color theme="0" tint="-0.499984740745262"/>
      <name val="Franklin Gothic Book"/>
      <family val="2"/>
      <scheme val="minor"/>
    </font>
    <font>
      <sz val="11"/>
      <color theme="0" tint="-0.499984740745262"/>
      <name val="Franklin Gothic Book"/>
      <family val="2"/>
      <scheme val="minor"/>
    </font>
    <font>
      <sz val="42"/>
      <color theme="3" tint="-0.499984740745262"/>
      <name val="Franklin Gothic Medium"/>
      <family val="2"/>
      <scheme val="major"/>
    </font>
    <font>
      <sz val="11"/>
      <color theme="0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sz val="14"/>
      <color theme="0"/>
      <name val="Franklin Gothic Medium"/>
      <family val="2"/>
      <scheme val="major"/>
    </font>
    <font>
      <sz val="10"/>
      <color theme="0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7" fillId="0" borderId="0"/>
    <xf numFmtId="0" fontId="9" fillId="4" borderId="3">
      <alignment horizontal="center" vertical="center"/>
    </xf>
    <xf numFmtId="0" fontId="10" fillId="0" borderId="3" applyNumberFormat="0">
      <alignment horizontal="center" vertical="center"/>
    </xf>
    <xf numFmtId="0" fontId="11" fillId="5" borderId="3">
      <alignment horizontal="center" vertical="center"/>
    </xf>
    <xf numFmtId="0" fontId="9" fillId="2" borderId="3">
      <alignment horizontal="center" vertical="center"/>
    </xf>
    <xf numFmtId="0" fontId="11" fillId="6" borderId="3" applyNumberFormat="0">
      <alignment horizontal="center" vertical="center"/>
    </xf>
    <xf numFmtId="0" fontId="12" fillId="7" borderId="3" applyNumberFormat="0">
      <alignment horizontal="center" vertical="center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center" vertical="center"/>
    </xf>
    <xf numFmtId="164" fontId="14" fillId="3" borderId="8" xfId="0" applyNumberFormat="1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6" fontId="8" fillId="0" borderId="5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0" fontId="2" fillId="0" borderId="1" xfId="0" applyFont="1" applyBorder="1"/>
    <xf numFmtId="0" fontId="0" fillId="9" borderId="0" xfId="0" applyFill="1"/>
    <xf numFmtId="0" fontId="0" fillId="9" borderId="0" xfId="0" applyFill="1" applyAlignment="1">
      <alignment horizontal="left" vertical="center"/>
    </xf>
    <xf numFmtId="0" fontId="8" fillId="9" borderId="0" xfId="0" applyFont="1" applyFill="1" applyBorder="1" applyAlignment="1">
      <alignment horizontal="center" vertical="center"/>
    </xf>
    <xf numFmtId="0" fontId="0" fillId="9" borderId="0" xfId="0" applyFill="1" applyBorder="1"/>
    <xf numFmtId="0" fontId="0" fillId="9" borderId="0" xfId="0" applyFill="1" applyBorder="1" applyAlignment="1">
      <alignment horizontal="left" vertical="center"/>
    </xf>
    <xf numFmtId="165" fontId="13" fillId="3" borderId="7" xfId="0" applyNumberFormat="1" applyFont="1" applyFill="1" applyBorder="1" applyAlignment="1">
      <alignment horizontal="center" vertical="center"/>
    </xf>
    <xf numFmtId="165" fontId="13" fillId="3" borderId="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wrapText="1"/>
    </xf>
  </cellXfs>
  <cellStyles count="8">
    <cellStyle name="Выходной день" xfId="3" xr:uid="{00000000-0005-0000-0000-000000000000}"/>
    <cellStyle name="Дневная смена" xfId="2" xr:uid="{00000000-0005-0000-0000-000001000000}"/>
    <cellStyle name="Дневная/ночная смена" xfId="5" xr:uid="{00000000-0005-0000-0000-000002000000}"/>
    <cellStyle name="Нерабочий день" xfId="7" xr:uid="{00000000-0005-0000-0000-000005000000}"/>
    <cellStyle name="Ночная смена" xfId="4" xr:uid="{00000000-0005-0000-0000-000004000000}"/>
    <cellStyle name="Обычный" xfId="0" builtinId="0"/>
    <cellStyle name="Обычный 2" xfId="1" xr:uid="{00000000-0005-0000-0000-000007000000}"/>
    <cellStyle name="Праздники" xfId="6" xr:uid="{00000000-0005-0000-0000-000003000000}"/>
  </cellStyles>
  <dxfs count="6"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ill>
        <patternFill>
          <bgColor theme="3" tint="-0.24994659260841701"/>
        </patternFill>
      </fill>
    </dxf>
  </dxfs>
  <tableStyles count="0" defaultTableStyle="TableStyleMedium2" defaultPivotStyle="PivotStyleLight16"/>
  <colors>
    <mruColors>
      <color rgb="FF0E6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КалендарныйГод" max="2999" min="1900" page="10" val="202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0</xdr:row>
          <xdr:rowOff>314325</xdr:rowOff>
        </xdr:from>
        <xdr:to>
          <xdr:col>33</xdr:col>
          <xdr:colOff>257175</xdr:colOff>
          <xdr:row>0</xdr:row>
          <xdr:rowOff>619125</xdr:rowOff>
        </xdr:to>
        <xdr:sp macro="" textlink="">
          <xdr:nvSpPr>
            <xdr:cNvPr id="1025" name="Счетчик" descr="Используйте кнопки счетчика, чтобы изменить календарный год, или введите год в ячейке AH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Shift Work 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75"/>
  <sheetViews>
    <sheetView showGridLines="0" showRowColHeaders="0" tabSelected="1" zoomScaleNormal="100" workbookViewId="0">
      <selection activeCell="AH1" sqref="AH1:AM1"/>
    </sheetView>
  </sheetViews>
  <sheetFormatPr defaultColWidth="0" defaultRowHeight="18.95" customHeight="1" x14ac:dyDescent="0.3"/>
  <cols>
    <col min="1" max="1" width="1.77734375" style="5" customWidth="1"/>
    <col min="2" max="2" width="21.77734375" style="5" customWidth="1"/>
    <col min="3" max="39" width="3.88671875" style="5" customWidth="1"/>
    <col min="40" max="40" width="1.77734375" style="5" customWidth="1"/>
    <col min="41" max="16384" width="8.88671875" style="5" hidden="1"/>
  </cols>
  <sheetData>
    <row r="1" spans="2:40" s="1" customFormat="1" ht="65.25" customHeight="1" x14ac:dyDescent="0.9">
      <c r="B1" s="17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4"/>
      <c r="AH1" s="25">
        <v>2021</v>
      </c>
      <c r="AI1" s="25"/>
      <c r="AJ1" s="25"/>
      <c r="AK1" s="25"/>
      <c r="AL1" s="25"/>
      <c r="AM1" s="25"/>
    </row>
    <row r="2" spans="2:40" customFormat="1" ht="9" customHeight="1" x14ac:dyDescent="0.3"/>
    <row r="3" spans="2:40" customFormat="1" ht="18.95" customHeight="1" x14ac:dyDescent="0.3">
      <c r="AB3" s="18"/>
      <c r="AC3" s="19"/>
      <c r="AD3" s="20"/>
      <c r="AE3" s="21"/>
      <c r="AF3" s="20"/>
      <c r="AG3" s="22"/>
      <c r="AH3" s="20"/>
      <c r="AI3" s="21"/>
      <c r="AJ3" s="20"/>
      <c r="AK3" s="22"/>
      <c r="AL3" s="20"/>
      <c r="AM3" s="21"/>
      <c r="AN3" s="18"/>
    </row>
    <row r="4" spans="2:40" customFormat="1" ht="9" customHeight="1" x14ac:dyDescent="0.3"/>
    <row r="5" spans="2:40" s="9" customFormat="1" ht="18.95" customHeight="1" x14ac:dyDescent="0.3">
      <c r="B5" s="23">
        <f>DATE(КалендарныйГод,1,1)</f>
        <v>44197</v>
      </c>
      <c r="C5" s="11" t="str">
        <f>IF(DAY(ЯнвВс1)=1,"",IF(AND(YEAR(ЯнвВс1+1)=КалендарныйГод,MONTH(ЯнвВс1+1)=1),ЯнвВс1+1,""))</f>
        <v/>
      </c>
      <c r="D5" s="11" t="str">
        <f>IF(DAY(ЯнвВс1)=1,"",IF(AND(YEAR(ЯнвВс1+2)=КалендарныйГод,MONTH(ЯнвВс1+2)=1),ЯнвВс1+2,""))</f>
        <v/>
      </c>
      <c r="E5" s="11" t="str">
        <f>IF(DAY(ЯнвВс1)=1,"",IF(AND(YEAR(ЯнвВс1+3)=КалендарныйГод,MONTH(ЯнвВс1+3)=1),ЯнвВс1+3,""))</f>
        <v/>
      </c>
      <c r="F5" s="11" t="str">
        <f>IF(DAY(ЯнвВс1)=1,"",IF(AND(YEAR(ЯнвВс1+4)=КалендарныйГод,MONTH(ЯнвВс1+4)=1),ЯнвВс1+4,""))</f>
        <v/>
      </c>
      <c r="G5" s="11" t="str">
        <f>IF(DAY(ЯнвВс1)=1,"",IF(AND(YEAR(ЯнвВс1+5)=КалендарныйГод,MONTH(ЯнвВс1+5)=1),ЯнвВс1+5,""))</f>
        <v/>
      </c>
      <c r="H5" s="11">
        <f>IF(DAY(ЯнвВс1)=1,"",IF(AND(YEAR(ЯнвВс1+6)=КалендарныйГод,MONTH(ЯнвВс1+6)=1),ЯнвВс1+6,""))</f>
        <v>44197</v>
      </c>
      <c r="I5" s="11">
        <f>IF(DAY(ЯнвВс1)=1,IF(AND(YEAR(ЯнвВс1)=КалендарныйГод,MONTH(ЯнвВс1)=1),ЯнвВс1,""),IF(AND(YEAR(ЯнвВс1+7)=КалендарныйГод,MONTH(ЯнвВс1+7)=1),ЯнвВс1+7,""))</f>
        <v>44198</v>
      </c>
      <c r="J5" s="11">
        <f>IF(DAY(ЯнвВс1)=1,IF(AND(YEAR(ЯнвВс1+1)=КалендарныйГод,MONTH(ЯнвВс1+1)=1),ЯнвВс1+1,""),IF(AND(YEAR(ЯнвВс1+8)=КалендарныйГод,MONTH(ЯнвВс1+8)=1),ЯнвВс1+8,""))</f>
        <v>44199</v>
      </c>
      <c r="K5" s="11">
        <f>IF(DAY(ЯнвВс1)=1,IF(AND(YEAR(ЯнвВс1+2)=КалендарныйГод,MONTH(ЯнвВс1+2)=1),ЯнвВс1+2,""),IF(AND(YEAR(ЯнвВс1+9)=КалендарныйГод,MONTH(ЯнвВс1+9)=1),ЯнвВс1+9,""))</f>
        <v>44200</v>
      </c>
      <c r="L5" s="11">
        <f>IF(DAY(ЯнвВс1)=1,IF(AND(YEAR(ЯнвВс1+3)=КалендарныйГод,MONTH(ЯнвВс1+3)=1),ЯнвВс1+3,""),IF(AND(YEAR(ЯнвВс1+10)=КалендарныйГод,MONTH(ЯнвВс1+10)=1),ЯнвВс1+10,""))</f>
        <v>44201</v>
      </c>
      <c r="M5" s="11">
        <f>IF(DAY(ЯнвВс1)=1,IF(AND(YEAR(ЯнвВс1+4)=КалендарныйГод,MONTH(ЯнвВс1+4)=1),ЯнвВс1+4,""),IF(AND(YEAR(ЯнвВс1+11)=КалендарныйГод,MONTH(ЯнвВс1+11)=1),ЯнвВс1+11,""))</f>
        <v>44202</v>
      </c>
      <c r="N5" s="11">
        <f>IF(DAY(ЯнвВс1)=1,IF(AND(YEAR(ЯнвВс1+5)=КалендарныйГод,MONTH(ЯнвВс1+5)=1),ЯнвВс1+5,""),IF(AND(YEAR(ЯнвВс1+12)=КалендарныйГод,MONTH(ЯнвВс1+12)=1),ЯнвВс1+12,""))</f>
        <v>44203</v>
      </c>
      <c r="O5" s="11">
        <f>IF(DAY(ЯнвВс1)=1,IF(AND(YEAR(ЯнвВс1+6)=КалендарныйГод,MONTH(ЯнвВс1+6)=1),ЯнвВс1+6,""),IF(AND(YEAR(ЯнвВс1+13)=КалендарныйГод,MONTH(ЯнвВс1+13)=1),ЯнвВс1+13,""))</f>
        <v>44204</v>
      </c>
      <c r="P5" s="11">
        <f>IF(DAY(ЯнвВс1)=1,IF(AND(YEAR(ЯнвВс1+7)=КалендарныйГод,MONTH(ЯнвВс1+7)=1),ЯнвВс1+7,""),IF(AND(YEAR(ЯнвВс1+14)=КалендарныйГод,MONTH(ЯнвВс1+14)=1),ЯнвВс1+14,""))</f>
        <v>44205</v>
      </c>
      <c r="Q5" s="11">
        <f>IF(DAY(ЯнвВс1)=1,IF(AND(YEAR(ЯнвВс1+8)=КалендарныйГод,MONTH(ЯнвВс1+8)=1),ЯнвВс1+8,""),IF(AND(YEAR(ЯнвВс1+15)=КалендарныйГод,MONTH(ЯнвВс1+15)=1),ЯнвВс1+15,""))</f>
        <v>44206</v>
      </c>
      <c r="R5" s="11">
        <f>IF(DAY(ЯнвВс1)=1,IF(AND(YEAR(ЯнвВс1+9)=КалендарныйГод,MONTH(ЯнвВс1+9)=1),ЯнвВс1+9,""),IF(AND(YEAR(ЯнвВс1+16)=КалендарныйГод,MONTH(ЯнвВс1+16)=1),ЯнвВс1+16,""))</f>
        <v>44207</v>
      </c>
      <c r="S5" s="11">
        <f>IF(DAY(ЯнвВс1)=1,IF(AND(YEAR(ЯнвВс1+10)=КалендарныйГод,MONTH(ЯнвВс1+10)=1),ЯнвВс1+10,""),IF(AND(YEAR(ЯнвВс1+17)=КалендарныйГод,MONTH(ЯнвВс1+17)=1),ЯнвВс1+17,""))</f>
        <v>44208</v>
      </c>
      <c r="T5" s="11">
        <f>IF(DAY(ЯнвВс1)=1,IF(AND(YEAR(ЯнвВс1+11)=КалендарныйГод,MONTH(ЯнвВс1+11)=1),ЯнвВс1+11,""),IF(AND(YEAR(ЯнвВс1+18)=КалендарныйГод,MONTH(ЯнвВс1+18)=1),ЯнвВс1+18,""))</f>
        <v>44209</v>
      </c>
      <c r="U5" s="11">
        <f>IF(DAY(ЯнвВс1)=1,IF(AND(YEAR(ЯнвВс1+12)=КалендарныйГод,MONTH(ЯнвВс1+12)=1),ЯнвВс1+12,""),IF(AND(YEAR(ЯнвВс1+19)=КалендарныйГод,MONTH(ЯнвВс1+19)=1),ЯнвВс1+19,""))</f>
        <v>44210</v>
      </c>
      <c r="V5" s="11">
        <f>IF(DAY(ЯнвВс1)=1,IF(AND(YEAR(ЯнвВс1+13)=КалендарныйГод,MONTH(ЯнвВс1+13)=1),ЯнвВс1+13,""),IF(AND(YEAR(ЯнвВс1+20)=КалендарныйГод,MONTH(ЯнвВс1+20)=1),ЯнвВс1+20,""))</f>
        <v>44211</v>
      </c>
      <c r="W5" s="11">
        <f>IF(DAY(ЯнвВс1)=1,IF(AND(YEAR(ЯнвВс1+14)=КалендарныйГод,MONTH(ЯнвВс1+14)=1),ЯнвВс1+14,""),IF(AND(YEAR(ЯнвВс1+21)=КалендарныйГод,MONTH(ЯнвВс1+21)=1),ЯнвВс1+21,""))</f>
        <v>44212</v>
      </c>
      <c r="X5" s="11">
        <f>IF(DAY(ЯнвВс1)=1,IF(AND(YEAR(ЯнвВс1+15)=КалендарныйГод,MONTH(ЯнвВс1+15)=1),ЯнвВс1+15,""),IF(AND(YEAR(ЯнвВс1+22)=КалендарныйГод,MONTH(ЯнвВс1+22)=1),ЯнвВс1+22,""))</f>
        <v>44213</v>
      </c>
      <c r="Y5" s="11">
        <f>IF(DAY(ЯнвВс1)=1,IF(AND(YEAR(ЯнвВс1+16)=КалендарныйГод,MONTH(ЯнвВс1+16)=1),ЯнвВс1+16,""),IF(AND(YEAR(ЯнвВс1+23)=КалендарныйГод,MONTH(ЯнвВс1+23)=1),ЯнвВс1+23,""))</f>
        <v>44214</v>
      </c>
      <c r="Z5" s="11">
        <f>IF(DAY(ЯнвВс1)=1,IF(AND(YEAR(ЯнвВс1+17)=КалендарныйГод,MONTH(ЯнвВс1+17)=1),ЯнвВс1+17,""),IF(AND(YEAR(ЯнвВс1+24)=КалендарныйГод,MONTH(ЯнвВс1+24)=1),ЯнвВс1+24,""))</f>
        <v>44215</v>
      </c>
      <c r="AA5" s="11">
        <f>IF(DAY(ЯнвВс1)=1,IF(AND(YEAR(ЯнвВс1+18)=КалендарныйГод,MONTH(ЯнвВс1+18)=1),ЯнвВс1+18,""),IF(AND(YEAR(ЯнвВс1+25)=КалендарныйГод,MONTH(ЯнвВс1+25)=1),ЯнвВс1+25,""))</f>
        <v>44216</v>
      </c>
      <c r="AB5" s="11">
        <f>IF(DAY(ЯнвВс1)=1,IF(AND(YEAR(ЯнвВс1+19)=КалендарныйГод,MONTH(ЯнвВс1+19)=1),ЯнвВс1+19,""),IF(AND(YEAR(ЯнвВс1+26)=КалендарныйГод,MONTH(ЯнвВс1+26)=1),ЯнвВс1+26,""))</f>
        <v>44217</v>
      </c>
      <c r="AC5" s="11">
        <f>IF(DAY(ЯнвВс1)=1,IF(AND(YEAR(ЯнвВс1+20)=КалендарныйГод,MONTH(ЯнвВс1+20)=1),ЯнвВс1+20,""),IF(AND(YEAR(ЯнвВс1+27)=КалендарныйГод,MONTH(ЯнвВс1+27)=1),ЯнвВс1+27,""))</f>
        <v>44218</v>
      </c>
      <c r="AD5" s="11">
        <f>IF(DAY(ЯнвВс1)=1,IF(AND(YEAR(ЯнвВс1+21)=КалендарныйГод,MONTH(ЯнвВс1+21)=1),ЯнвВс1+21,""),IF(AND(YEAR(ЯнвВс1+28)=КалендарныйГод,MONTH(ЯнвВс1+28)=1),ЯнвВс1+28,""))</f>
        <v>44219</v>
      </c>
      <c r="AE5" s="11">
        <f>IF(DAY(ЯнвВс1)=1,IF(AND(YEAR(ЯнвВс1+22)=КалендарныйГод,MONTH(ЯнвВс1+22)=1),ЯнвВс1+22,""),IF(AND(YEAR(ЯнвВс1+29)=КалендарныйГод,MONTH(ЯнвВс1+29)=1),ЯнвВс1+29,""))</f>
        <v>44220</v>
      </c>
      <c r="AF5" s="11">
        <f>IF(DAY(ЯнвВс1)=1,IF(AND(YEAR(ЯнвВс1+23)=КалендарныйГод,MONTH(ЯнвВс1+23)=1),ЯнвВс1+23,""),IF(AND(YEAR(ЯнвВс1+30)=КалендарныйГод,MONTH(ЯнвВс1+30)=1),ЯнвВс1+30,""))</f>
        <v>44221</v>
      </c>
      <c r="AG5" s="11">
        <f>IF(DAY(ЯнвВс1)=1,IF(AND(YEAR(ЯнвВс1+24)=КалендарныйГод,MONTH(ЯнвВс1+24)=1),ЯнвВс1+24,""),IF(AND(YEAR(ЯнвВс1+31)=КалендарныйГод,MONTH(ЯнвВс1+31)=1),ЯнвВс1+31,""))</f>
        <v>44222</v>
      </c>
      <c r="AH5" s="11">
        <f>IF(DAY(ЯнвВс1)=1,IF(AND(YEAR(ЯнвВс1+25)=КалендарныйГод,MONTH(ЯнвВс1+25)=1),ЯнвВс1+25,""),IF(AND(YEAR(ЯнвВс1+32)=КалендарныйГод,MONTH(ЯнвВс1+32)=1),ЯнвВс1+32,""))</f>
        <v>44223</v>
      </c>
      <c r="AI5" s="11">
        <f>IF(DAY(ЯнвВс1)=1,IF(AND(YEAR(ЯнвВс1+26)=КалендарныйГод,MONTH(ЯнвВс1+26)=1),ЯнвВс1+26,""),IF(AND(YEAR(ЯнвВс1+33)=КалендарныйГод,MONTH(ЯнвВс1+33)=1),ЯнвВс1+33,""))</f>
        <v>44224</v>
      </c>
      <c r="AJ5" s="11">
        <f>IF(DAY(ЯнвВс1)=1,IF(AND(YEAR(ЯнвВс1+27)=КалендарныйГод,MONTH(ЯнвВс1+27)=1),ЯнвВс1+27,""),IF(AND(YEAR(ЯнвВс1+34)=КалендарныйГод,MONTH(ЯнвВс1+34)=1),ЯнвВс1+34,""))</f>
        <v>44225</v>
      </c>
      <c r="AK5" s="11">
        <f>IF(DAY(ЯнвВс1)=1,IF(AND(YEAR(ЯнвВс1+28)=КалендарныйГод,MONTH(ЯнвВс1+28)=1),ЯнвВс1+28,""),IF(AND(YEAR(ЯнвВс1+35)=КалендарныйГод,MONTH(ЯнвВс1+35)=1),ЯнвВс1+35,""))</f>
        <v>44226</v>
      </c>
      <c r="AL5" s="11">
        <f>IF(DAY(ЯнвВс1)=1,IF(AND(YEAR(ЯнвВс1+29)=КалендарныйГод,MONTH(ЯнвВс1+29)=1),ЯнвВс1+29,""),IF(AND(YEAR(ЯнвВс1+36)=КалендарныйГод,MONTH(ЯнвВс1+36)=1),ЯнвВс1+36,""))</f>
        <v>44227</v>
      </c>
      <c r="AM5" s="12" t="str">
        <f>IF(DAY(ЯнвВс1)=1,IF(AND(YEAR(ЯнвВс1+30)=КалендарныйГод,MONTH(ЯнвВс1+30)=1),ЯнвВс1+30,""),IF(AND(YEAR(ЯнвВс1+37)=КалендарныйГод,MONTH(ЯнвВс1+37)=1),ЯнвВс1+37,""))</f>
        <v/>
      </c>
    </row>
    <row r="6" spans="2:40" s="9" customFormat="1" ht="18.95" customHeight="1" x14ac:dyDescent="0.3">
      <c r="B6" s="24"/>
      <c r="C6" s="10" t="s">
        <v>0</v>
      </c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0</v>
      </c>
      <c r="K6" s="10" t="s">
        <v>1</v>
      </c>
      <c r="L6" s="10" t="s">
        <v>2</v>
      </c>
      <c r="M6" s="10" t="s">
        <v>3</v>
      </c>
      <c r="N6" s="10" t="s">
        <v>4</v>
      </c>
      <c r="O6" s="10" t="s">
        <v>5</v>
      </c>
      <c r="P6" s="10" t="s">
        <v>6</v>
      </c>
      <c r="Q6" s="10" t="s">
        <v>0</v>
      </c>
      <c r="R6" s="10" t="s">
        <v>1</v>
      </c>
      <c r="S6" s="10" t="s">
        <v>2</v>
      </c>
      <c r="T6" s="10" t="s">
        <v>3</v>
      </c>
      <c r="U6" s="10" t="s">
        <v>4</v>
      </c>
      <c r="V6" s="10" t="s">
        <v>5</v>
      </c>
      <c r="W6" s="10" t="s">
        <v>6</v>
      </c>
      <c r="X6" s="10" t="s">
        <v>0</v>
      </c>
      <c r="Y6" s="10" t="s">
        <v>1</v>
      </c>
      <c r="Z6" s="10" t="s">
        <v>2</v>
      </c>
      <c r="AA6" s="10" t="s">
        <v>3</v>
      </c>
      <c r="AB6" s="10" t="s">
        <v>4</v>
      </c>
      <c r="AC6" s="10" t="s">
        <v>5</v>
      </c>
      <c r="AD6" s="10" t="s">
        <v>6</v>
      </c>
      <c r="AE6" s="10" t="s">
        <v>0</v>
      </c>
      <c r="AF6" s="10" t="s">
        <v>1</v>
      </c>
      <c r="AG6" s="10" t="s">
        <v>2</v>
      </c>
      <c r="AH6" s="10" t="s">
        <v>3</v>
      </c>
      <c r="AI6" s="10" t="s">
        <v>4</v>
      </c>
      <c r="AJ6" s="10" t="s">
        <v>5</v>
      </c>
      <c r="AK6" s="10" t="s">
        <v>6</v>
      </c>
      <c r="AL6" s="10" t="s">
        <v>0</v>
      </c>
      <c r="AM6" s="13" t="s">
        <v>1</v>
      </c>
    </row>
    <row r="7" spans="2:40" ht="18.95" customHeight="1" x14ac:dyDescent="0.3">
      <c r="B7" s="7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2:40" ht="18.95" customHeight="1" x14ac:dyDescent="0.3">
      <c r="B8" s="8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2:40" ht="18.95" customHeight="1" x14ac:dyDescent="0.3">
      <c r="B9" s="8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</row>
    <row r="10" spans="2:40" ht="12" customHeight="1" x14ac:dyDescent="0.3"/>
    <row r="11" spans="2:40" s="6" customFormat="1" ht="18.95" customHeight="1" x14ac:dyDescent="0.3">
      <c r="B11" s="23">
        <f>DATE(КалендарныйГод,2,1)</f>
        <v>44228</v>
      </c>
      <c r="C11" s="11" t="str">
        <f>IF(DAY(ФевВс1)=1,"",IF(AND(YEAR(ФевВс1+1)=КалендарныйГод,MONTH(ФевВс1+1)=2),ФевВс1+1,""))</f>
        <v/>
      </c>
      <c r="D11" s="11">
        <f>IF(DAY(ФевВс1)=1,"",IF(AND(YEAR(ФевВс1+2)=КалендарныйГод,MONTH(ФевВс1+2)=2),ФевВс1+2,""))</f>
        <v>44228</v>
      </c>
      <c r="E11" s="11">
        <f>IF(DAY(ФевВс1)=1,"",IF(AND(YEAR(ФевВс1+3)=КалендарныйГод,MONTH(ФевВс1+3)=2),ФевВс1+3,""))</f>
        <v>44229</v>
      </c>
      <c r="F11" s="11">
        <f>IF(DAY(ФевВс1)=1,"",IF(AND(YEAR(ФевВс1+4)=КалендарныйГод,MONTH(ФевВс1+4)=2),ФевВс1+4,""))</f>
        <v>44230</v>
      </c>
      <c r="G11" s="11">
        <f>IF(DAY(ФевВс1)=1,"",IF(AND(YEAR(ФевВс1+5)=КалендарныйГод,MONTH(ФевВс1+5)=2),ФевВс1+5,""))</f>
        <v>44231</v>
      </c>
      <c r="H11" s="11">
        <f>IF(DAY(ФевВс1)=1,"",IF(AND(YEAR(ФевВс1+6)=КалендарныйГод,MONTH(ФевВс1+6)=2),ФевВс1+6,""))</f>
        <v>44232</v>
      </c>
      <c r="I11" s="11">
        <f>IF(DAY(ФевВс1)=1,IF(AND(YEAR(ФевВс1)=КалендарныйГод,MONTH(ФевВс1)=2),ФевВс1,""),IF(AND(YEAR(ФевВс1+7)=КалендарныйГод,MONTH(ФевВс1+7)=2),ФевВс1+7,""))</f>
        <v>44233</v>
      </c>
      <c r="J11" s="11">
        <f>IF(DAY(ФевВс1)=1,IF(AND(YEAR(ФевВс1+1)=КалендарныйГод,MONTH(ФевВс1+1)=2),ФевВс1+1,""),IF(AND(YEAR(ФевВс1+8)=КалендарныйГод,MONTH(ФевВс1+8)=2),ФевВс1+8,""))</f>
        <v>44234</v>
      </c>
      <c r="K11" s="11">
        <f>IF(DAY(ФевВс1)=1,IF(AND(YEAR(ФевВс1+2)=КалендарныйГод,MONTH(ФевВс1+2)=2),ФевВс1+2,""),IF(AND(YEAR(ФевВс1+9)=КалендарныйГод,MONTH(ФевВс1+9)=2),ФевВс1+9,""))</f>
        <v>44235</v>
      </c>
      <c r="L11" s="11">
        <f>IF(DAY(ФевВс1)=1,IF(AND(YEAR(ФевВс1+3)=КалендарныйГод,MONTH(ФевВс1+3)=2),ФевВс1+3,""),IF(AND(YEAR(ФевВс1+10)=КалендарныйГод,MONTH(ФевВс1+10)=2),ФевВс1+10,""))</f>
        <v>44236</v>
      </c>
      <c r="M11" s="11">
        <f>IF(DAY(ФевВс1)=1,IF(AND(YEAR(ФевВс1+4)=КалендарныйГод,MONTH(ФевВс1+4)=2),ФевВс1+4,""),IF(AND(YEAR(ФевВс1+11)=КалендарныйГод,MONTH(ФевВс1+11)=2),ФевВс1+11,""))</f>
        <v>44237</v>
      </c>
      <c r="N11" s="11">
        <f>IF(DAY(ФевВс1)=1,IF(AND(YEAR(ФевВс1+5)=КалендарныйГод,MONTH(ФевВс1+5)=2),ФевВс1+5,""),IF(AND(YEAR(ФевВс1+12)=КалендарныйГод,MONTH(ФевВс1+12)=2),ФевВс1+12,""))</f>
        <v>44238</v>
      </c>
      <c r="O11" s="11">
        <f>IF(DAY(ФевВс1)=1,IF(AND(YEAR(ФевВс1+6)=КалендарныйГод,MONTH(ФевВс1+6)=2),ФевВс1+6,""),IF(AND(YEAR(ФевВс1+13)=КалендарныйГод,MONTH(ФевВс1+13)=2),ФевВс1+13,""))</f>
        <v>44239</v>
      </c>
      <c r="P11" s="11">
        <f>IF(DAY(ФевВс1)=1,IF(AND(YEAR(ФевВс1+7)=КалендарныйГод,MONTH(ФевВс1+7)=2),ФевВс1+7,""),IF(AND(YEAR(ФевВс1+14)=КалендарныйГод,MONTH(ФевВс1+14)=2),ФевВс1+14,""))</f>
        <v>44240</v>
      </c>
      <c r="Q11" s="11">
        <f>IF(DAY(ФевВс1)=1,IF(AND(YEAR(ФевВс1+8)=КалендарныйГод,MONTH(ФевВс1+8)=2),ФевВс1+8,""),IF(AND(YEAR(ФевВс1+15)=КалендарныйГод,MONTH(ФевВс1+15)=2),ФевВс1+15,""))</f>
        <v>44241</v>
      </c>
      <c r="R11" s="11">
        <f>IF(DAY(ФевВс1)=1,IF(AND(YEAR(ФевВс1+9)=КалендарныйГод,MONTH(ФевВс1+9)=2),ФевВс1+9,""),IF(AND(YEAR(ФевВс1+16)=КалендарныйГод,MONTH(ФевВс1+16)=2),ФевВс1+16,""))</f>
        <v>44242</v>
      </c>
      <c r="S11" s="11">
        <f>IF(DAY(ФевВс1)=1,IF(AND(YEAR(ФевВс1+10)=КалендарныйГод,MONTH(ФевВс1+10)=2),ФевВс1+10,""),IF(AND(YEAR(ФевВс1+17)=КалендарныйГод,MONTH(ФевВс1+17)=2),ФевВс1+17,""))</f>
        <v>44243</v>
      </c>
      <c r="T11" s="11">
        <f>IF(DAY(ФевВс1)=1,IF(AND(YEAR(ФевВс1+11)=КалендарныйГод,MONTH(ФевВс1+11)=2),ФевВс1+11,""),IF(AND(YEAR(ФевВс1+18)=КалендарныйГод,MONTH(ФевВс1+18)=2),ФевВс1+18,""))</f>
        <v>44244</v>
      </c>
      <c r="U11" s="11">
        <f>IF(DAY(ФевВс1)=1,IF(AND(YEAR(ФевВс1+12)=КалендарныйГод,MONTH(ФевВс1+12)=2),ФевВс1+12,""),IF(AND(YEAR(ФевВс1+19)=КалендарныйГод,MONTH(ФевВс1+19)=2),ФевВс1+19,""))</f>
        <v>44245</v>
      </c>
      <c r="V11" s="11">
        <f>IF(DAY(ФевВс1)=1,IF(AND(YEAR(ФевВс1+13)=КалендарныйГод,MONTH(ФевВс1+13)=2),ФевВс1+13,""),IF(AND(YEAR(ФевВс1+20)=КалендарныйГод,MONTH(ФевВс1+20)=2),ФевВс1+20,""))</f>
        <v>44246</v>
      </c>
      <c r="W11" s="11">
        <f>IF(DAY(ФевВс1)=1,IF(AND(YEAR(ФевВс1+14)=КалендарныйГод,MONTH(ФевВс1+14)=2),ФевВс1+14,""),IF(AND(YEAR(ФевВс1+21)=КалендарныйГод,MONTH(ФевВс1+21)=2),ФевВс1+21,""))</f>
        <v>44247</v>
      </c>
      <c r="X11" s="11">
        <f>IF(DAY(ФевВс1)=1,IF(AND(YEAR(ФевВс1+15)=КалендарныйГод,MONTH(ФевВс1+15)=2),ФевВс1+15,""),IF(AND(YEAR(ФевВс1+22)=КалендарныйГод,MONTH(ФевВс1+22)=2),ФевВс1+22,""))</f>
        <v>44248</v>
      </c>
      <c r="Y11" s="11">
        <f>IF(DAY(ФевВс1)=1,IF(AND(YEAR(ФевВс1+16)=КалендарныйГод,MONTH(ФевВс1+16)=2),ФевВс1+16,""),IF(AND(YEAR(ФевВс1+23)=КалендарныйГод,MONTH(ФевВс1+23)=2),ФевВс1+23,""))</f>
        <v>44249</v>
      </c>
      <c r="Z11" s="11">
        <f>IF(DAY(ФевВс1)=1,IF(AND(YEAR(ФевВс1+17)=КалендарныйГод,MONTH(ФевВс1+17)=2),ФевВс1+17,""),IF(AND(YEAR(ФевВс1+24)=КалендарныйГод,MONTH(ФевВс1+24)=2),ФевВс1+24,""))</f>
        <v>44250</v>
      </c>
      <c r="AA11" s="11">
        <f>IF(DAY(ФевВс1)=1,IF(AND(YEAR(ФевВс1+18)=КалендарныйГод,MONTH(ФевВс1+18)=2),ФевВс1+18,""),IF(AND(YEAR(ФевВс1+25)=КалендарныйГод,MONTH(ФевВс1+25)=2),ФевВс1+25,""))</f>
        <v>44251</v>
      </c>
      <c r="AB11" s="11">
        <f>IF(DAY(ФевВс1)=1,IF(AND(YEAR(ФевВс1+19)=КалендарныйГод,MONTH(ФевВс1+19)=2),ФевВс1+19,""),IF(AND(YEAR(ФевВс1+26)=КалендарныйГод,MONTH(ФевВс1+26)=2),ФевВс1+26,""))</f>
        <v>44252</v>
      </c>
      <c r="AC11" s="11">
        <f>IF(DAY(ФевВс1)=1,IF(AND(YEAR(ФевВс1+20)=КалендарныйГод,MONTH(ФевВс1+20)=2),ФевВс1+20,""),IF(AND(YEAR(ФевВс1+27)=КалендарныйГод,MONTH(ФевВс1+27)=2),ФевВс1+27,""))</f>
        <v>44253</v>
      </c>
      <c r="AD11" s="11">
        <f>IF(DAY(ФевВс1)=1,IF(AND(YEAR(ФевВс1+21)=КалендарныйГод,MONTH(ФевВс1+21)=2),ФевВс1+21,""),IF(AND(YEAR(ФевВс1+28)=КалендарныйГод,MONTH(ФевВс1+28)=2),ФевВс1+28,""))</f>
        <v>44254</v>
      </c>
      <c r="AE11" s="11">
        <f>IF(DAY(ФевВс1)=1,IF(AND(YEAR(ФевВс1+22)=КалендарныйГод,MONTH(ФевВс1+22)=2),ФевВс1+22,""),IF(AND(YEAR(ФевВс1+29)=КалендарныйГод,MONTH(ФевВс1+29)=2),ФевВс1+29,""))</f>
        <v>44255</v>
      </c>
      <c r="AF11" s="11" t="str">
        <f>IF(DAY(ФевВс1)=1,IF(AND(YEAR(ФевВс1+23)=КалендарныйГод,MONTH(ФевВс1+23)=2),ФевВс1+23,""),IF(AND(YEAR(ФевВс1+30)=КалендарныйГод,MONTH(ФевВс1+30)=2),ФевВс1+30,""))</f>
        <v/>
      </c>
      <c r="AG11" s="11" t="str">
        <f>IF(DAY(ФевВс1)=1,IF(AND(YEAR(ФевВс1+24)=КалендарныйГод,MONTH(ФевВс1+24)=2),ФевВс1+24,""),IF(AND(YEAR(ФевВс1+31)=КалендарныйГод,MONTH(ФевВс1+31)=2),ФевВс1+31,""))</f>
        <v/>
      </c>
      <c r="AH11" s="11" t="str">
        <f>IF(DAY(ФевВс1)=1,IF(AND(YEAR(ФевВс1+25)=КалендарныйГод,MONTH(ФевВс1+25)=2),ФевВс1+25,""),IF(AND(YEAR(ФевВс1+32)=КалендарныйГод,MONTH(ФевВс1+32)=2),ФевВс1+32,""))</f>
        <v/>
      </c>
      <c r="AI11" s="11" t="str">
        <f>IF(DAY(ФевВс1)=1,IF(AND(YEAR(ФевВс1+26)=КалендарныйГод,MONTH(ФевВс1+26)=2),ФевВс1+26,""),IF(AND(YEAR(ФевВс1+33)=КалендарныйГод,MONTH(ФевВс1+33)=2),ФевВс1+33,""))</f>
        <v/>
      </c>
      <c r="AJ11" s="11" t="str">
        <f>IF(DAY(ФевВс1)=1,IF(AND(YEAR(ФевВс1+27)=КалендарныйГод,MONTH(ФевВс1+27)=2),ФевВс1+27,""),IF(AND(YEAR(ФевВс1+34)=КалендарныйГод,MONTH(ФевВс1+34)=2),ФевВс1+34,""))</f>
        <v/>
      </c>
      <c r="AK11" s="11" t="str">
        <f>IF(DAY(ФевВс1)=1,IF(AND(YEAR(ФевВс1+28)=КалендарныйГод,MONTH(ФевВс1+28)=2),ФевВс1+28,""),IF(AND(YEAR(ФевВс1+35)=КалендарныйГод,MONTH(ФевВс1+35)=2),ФевВс1+35,""))</f>
        <v/>
      </c>
      <c r="AL11" s="11" t="str">
        <f>IF(DAY(ФевВс1)=1,IF(AND(YEAR(ФевВс1+29)=КалендарныйГод,MONTH(ФевВс1+29)=2),ФевВс1+29,""),IF(AND(YEAR(ФевВс1+36)=КалендарныйГод,MONTH(ФевВс1+36)=2),ФевВс1+36,""))</f>
        <v/>
      </c>
      <c r="AM11" s="12" t="str">
        <f>IF(DAY(ФевВс1)=1,IF(AND(YEAR(ФевВс1+30)=КалендарныйГод,MONTH(ФевВс1+30)=2),ФевВс1+30,""),IF(AND(YEAR(ФевВс1+37)=КалендарныйГод,MONTH(ФевВс1+37)=2),ФевВс1+37,""))</f>
        <v/>
      </c>
    </row>
    <row r="12" spans="2:40" s="6" customFormat="1" ht="18.95" customHeight="1" x14ac:dyDescent="0.3">
      <c r="B12" s="24"/>
      <c r="C12" s="10" t="s">
        <v>0</v>
      </c>
      <c r="D12" s="10" t="s">
        <v>1</v>
      </c>
      <c r="E12" s="10" t="s">
        <v>2</v>
      </c>
      <c r="F12" s="10" t="s">
        <v>3</v>
      </c>
      <c r="G12" s="10" t="s">
        <v>4</v>
      </c>
      <c r="H12" s="10" t="s">
        <v>5</v>
      </c>
      <c r="I12" s="10" t="s">
        <v>6</v>
      </c>
      <c r="J12" s="10" t="s">
        <v>0</v>
      </c>
      <c r="K12" s="10" t="s">
        <v>1</v>
      </c>
      <c r="L12" s="10" t="s">
        <v>2</v>
      </c>
      <c r="M12" s="10" t="s">
        <v>3</v>
      </c>
      <c r="N12" s="10" t="s">
        <v>4</v>
      </c>
      <c r="O12" s="10" t="s">
        <v>5</v>
      </c>
      <c r="P12" s="10" t="s">
        <v>6</v>
      </c>
      <c r="Q12" s="10" t="s">
        <v>0</v>
      </c>
      <c r="R12" s="10" t="s">
        <v>1</v>
      </c>
      <c r="S12" s="10" t="s">
        <v>2</v>
      </c>
      <c r="T12" s="10" t="s">
        <v>3</v>
      </c>
      <c r="U12" s="10" t="s">
        <v>4</v>
      </c>
      <c r="V12" s="10" t="s">
        <v>5</v>
      </c>
      <c r="W12" s="10" t="s">
        <v>6</v>
      </c>
      <c r="X12" s="10" t="s">
        <v>0</v>
      </c>
      <c r="Y12" s="10" t="s">
        <v>1</v>
      </c>
      <c r="Z12" s="10" t="s">
        <v>2</v>
      </c>
      <c r="AA12" s="10" t="s">
        <v>3</v>
      </c>
      <c r="AB12" s="10" t="s">
        <v>4</v>
      </c>
      <c r="AC12" s="10" t="s">
        <v>5</v>
      </c>
      <c r="AD12" s="10" t="s">
        <v>6</v>
      </c>
      <c r="AE12" s="10" t="s">
        <v>0</v>
      </c>
      <c r="AF12" s="10" t="s">
        <v>1</v>
      </c>
      <c r="AG12" s="10" t="s">
        <v>2</v>
      </c>
      <c r="AH12" s="10" t="s">
        <v>3</v>
      </c>
      <c r="AI12" s="10" t="s">
        <v>4</v>
      </c>
      <c r="AJ12" s="10" t="s">
        <v>5</v>
      </c>
      <c r="AK12" s="10" t="s">
        <v>6</v>
      </c>
      <c r="AL12" s="10" t="s">
        <v>0</v>
      </c>
      <c r="AM12" s="13" t="s">
        <v>1</v>
      </c>
    </row>
    <row r="13" spans="2:40" ht="18.95" customHeight="1" x14ac:dyDescent="0.3">
      <c r="B13" s="7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2:40" ht="18.95" customHeight="1" x14ac:dyDescent="0.3">
      <c r="B14" s="8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</row>
    <row r="15" spans="2:40" ht="18.95" customHeight="1" x14ac:dyDescent="0.3">
      <c r="B15" s="8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</row>
    <row r="16" spans="2:40" ht="12" customHeight="1" x14ac:dyDescent="0.3"/>
    <row r="17" spans="2:39" s="9" customFormat="1" ht="18.95" customHeight="1" x14ac:dyDescent="0.3">
      <c r="B17" s="23">
        <f>DATE(КалендарныйГод,3,1)</f>
        <v>44256</v>
      </c>
      <c r="C17" s="11" t="str">
        <f>IF(DAY(МарВс1)=1,"",IF(AND(YEAR(МарВс1+1)=КалендарныйГод,MONTH(МарВс1+1)=3),МарВс1+1,""))</f>
        <v/>
      </c>
      <c r="D17" s="11">
        <f>IF(DAY(МарВс1)=1,"",IF(AND(YEAR(МарВс1+2)=КалендарныйГод,MONTH(МарВс1+2)=3),МарВс1+2,""))</f>
        <v>44256</v>
      </c>
      <c r="E17" s="11">
        <f>IF(DAY(МарВс1)=1,"",IF(AND(YEAR(МарВс1+3)=КалендарныйГод,MONTH(МарВс1+3)=3),МарВс1+3,""))</f>
        <v>44257</v>
      </c>
      <c r="F17" s="11">
        <f>IF(DAY(МарВс1)=1,"",IF(AND(YEAR(МарВс1+4)=КалендарныйГод,MONTH(МарВс1+4)=3),МарВс1+4,""))</f>
        <v>44258</v>
      </c>
      <c r="G17" s="11">
        <f>IF(DAY(МарВс1)=1,"",IF(AND(YEAR(МарВс1+5)=КалендарныйГод,MONTH(МарВс1+5)=3),МарВс1+5,""))</f>
        <v>44259</v>
      </c>
      <c r="H17" s="11">
        <f>IF(DAY(МарВс1)=1,"",IF(AND(YEAR(МарВс1+6)=КалендарныйГод,MONTH(МарВс1+6)=3),МарВс1+6,""))</f>
        <v>44260</v>
      </c>
      <c r="I17" s="11">
        <f>IF(DAY(МарВс1)=1,IF(AND(YEAR(МарВс1)=КалендарныйГод,MONTH(МарВс1)=3),МарВс1,""),IF(AND(YEAR(МарВс1+7)=КалендарныйГод,MONTH(МарВс1+7)=3),МарВс1+7,""))</f>
        <v>44261</v>
      </c>
      <c r="J17" s="11">
        <f>IF(DAY(МарВс1)=1,IF(AND(YEAR(МарВс1+1)=КалендарныйГод,MONTH(МарВс1+1)=3),МарВс1+1,""),IF(AND(YEAR(МарВс1+8)=КалендарныйГод,MONTH(МарВс1+8)=3),МарВс1+8,""))</f>
        <v>44262</v>
      </c>
      <c r="K17" s="11">
        <f>IF(DAY(МарВс1)=1,IF(AND(YEAR(МарВс1+2)=КалендарныйГод,MONTH(МарВс1+2)=3),МарВс1+2,""),IF(AND(YEAR(МарВс1+9)=КалендарныйГод,MONTH(МарВс1+9)=3),МарВс1+9,""))</f>
        <v>44263</v>
      </c>
      <c r="L17" s="11">
        <f>IF(DAY(МарВс1)=1,IF(AND(YEAR(МарВс1+3)=КалендарныйГод,MONTH(МарВс1+3)=3),МарВс1+3,""),IF(AND(YEAR(МарВс1+10)=КалендарныйГод,MONTH(МарВс1+10)=3),МарВс1+10,""))</f>
        <v>44264</v>
      </c>
      <c r="M17" s="11">
        <f>IF(DAY(МарВс1)=1,IF(AND(YEAR(МарВс1+4)=КалендарныйГод,MONTH(МарВс1+4)=3),МарВс1+4,""),IF(AND(YEAR(МарВс1+11)=КалендарныйГод,MONTH(МарВс1+11)=3),МарВс1+11,""))</f>
        <v>44265</v>
      </c>
      <c r="N17" s="11">
        <f>IF(DAY(МарВс1)=1,IF(AND(YEAR(МарВс1+5)=КалендарныйГод,MONTH(МарВс1+5)=3),МарВс1+5,""),IF(AND(YEAR(МарВс1+12)=КалендарныйГод,MONTH(МарВс1+12)=3),МарВс1+12,""))</f>
        <v>44266</v>
      </c>
      <c r="O17" s="11">
        <f>IF(DAY(МарВс1)=1,IF(AND(YEAR(МарВс1+6)=КалендарныйГод,MONTH(МарВс1+6)=3),МарВс1+6,""),IF(AND(YEAR(МарВс1+13)=КалендарныйГод,MONTH(МарВс1+13)=3),МарВс1+13,""))</f>
        <v>44267</v>
      </c>
      <c r="P17" s="11">
        <f>IF(DAY(МарВс1)=1,IF(AND(YEAR(МарВс1+7)=КалендарныйГод,MONTH(МарВс1+7)=3),МарВс1+7,""),IF(AND(YEAR(МарВс1+14)=КалендарныйГод,MONTH(МарВс1+14)=3),МарВс1+14,""))</f>
        <v>44268</v>
      </c>
      <c r="Q17" s="11">
        <f>IF(DAY(МарВс1)=1,IF(AND(YEAR(МарВс1+8)=КалендарныйГод,MONTH(МарВс1+8)=3),МарВс1+8,""),IF(AND(YEAR(МарВс1+15)=КалендарныйГод,MONTH(МарВс1+15)=3),МарВс1+15,""))</f>
        <v>44269</v>
      </c>
      <c r="R17" s="11">
        <f>IF(DAY(МарВс1)=1,IF(AND(YEAR(МарВс1+9)=КалендарныйГод,MONTH(МарВс1+9)=3),МарВс1+9,""),IF(AND(YEAR(МарВс1+16)=КалендарныйГод,MONTH(МарВс1+16)=3),МарВс1+16,""))</f>
        <v>44270</v>
      </c>
      <c r="S17" s="11">
        <f>IF(DAY(МарВс1)=1,IF(AND(YEAR(МарВс1+10)=КалендарныйГод,MONTH(МарВс1+10)=3),МарВс1+10,""),IF(AND(YEAR(МарВс1+17)=КалендарныйГод,MONTH(МарВс1+17)=3),МарВс1+17,""))</f>
        <v>44271</v>
      </c>
      <c r="T17" s="11">
        <f>IF(DAY(МарВс1)=1,IF(AND(YEAR(МарВс1+11)=КалендарныйГод,MONTH(МарВс1+11)=3),МарВс1+11,""),IF(AND(YEAR(МарВс1+18)=КалендарныйГод,MONTH(МарВс1+18)=3),МарВс1+18,""))</f>
        <v>44272</v>
      </c>
      <c r="U17" s="11">
        <f>IF(DAY(МарВс1)=1,IF(AND(YEAR(МарВс1+12)=КалендарныйГод,MONTH(МарВс1+12)=3),МарВс1+12,""),IF(AND(YEAR(МарВс1+19)=КалендарныйГод,MONTH(МарВс1+19)=3),МарВс1+19,""))</f>
        <v>44273</v>
      </c>
      <c r="V17" s="11">
        <f>IF(DAY(МарВс1)=1,IF(AND(YEAR(МарВс1+13)=КалендарныйГод,MONTH(МарВс1+13)=3),МарВс1+13,""),IF(AND(YEAR(МарВс1+20)=КалендарныйГод,MONTH(МарВс1+20)=3),МарВс1+20,""))</f>
        <v>44274</v>
      </c>
      <c r="W17" s="11">
        <f>IF(DAY(МарВс1)=1,IF(AND(YEAR(МарВс1+14)=КалендарныйГод,MONTH(МарВс1+14)=3),МарВс1+14,""),IF(AND(YEAR(МарВс1+21)=КалендарныйГод,MONTH(МарВс1+21)=3),МарВс1+21,""))</f>
        <v>44275</v>
      </c>
      <c r="X17" s="11">
        <f>IF(DAY(МарВс1)=1,IF(AND(YEAR(МарВс1+15)=КалендарныйГод,MONTH(МарВс1+15)=3),МарВс1+15,""),IF(AND(YEAR(МарВс1+22)=КалендарныйГод,MONTH(МарВс1+22)=3),МарВс1+22,""))</f>
        <v>44276</v>
      </c>
      <c r="Y17" s="11">
        <f>IF(DAY(МарВс1)=1,IF(AND(YEAR(МарВс1+16)=КалендарныйГод,MONTH(МарВс1+16)=3),МарВс1+16,""),IF(AND(YEAR(МарВс1+23)=КалендарныйГод,MONTH(МарВс1+23)=3),МарВс1+23,""))</f>
        <v>44277</v>
      </c>
      <c r="Z17" s="11">
        <f>IF(DAY(МарВс1)=1,IF(AND(YEAR(МарВс1+17)=КалендарныйГод,MONTH(МарВс1+17)=3),МарВс1+17,""),IF(AND(YEAR(МарВс1+24)=КалендарныйГод,MONTH(МарВс1+24)=3),МарВс1+24,""))</f>
        <v>44278</v>
      </c>
      <c r="AA17" s="11">
        <f>IF(DAY(МарВс1)=1,IF(AND(YEAR(МарВс1+18)=КалендарныйГод,MONTH(МарВс1+18)=3),МарВс1+18,""),IF(AND(YEAR(МарВс1+25)=КалендарныйГод,MONTH(МарВс1+25)=3),МарВс1+25,""))</f>
        <v>44279</v>
      </c>
      <c r="AB17" s="11">
        <f>IF(DAY(МарВс1)=1,IF(AND(YEAR(МарВс1+19)=КалендарныйГод,MONTH(МарВс1+19)=3),МарВс1+19,""),IF(AND(YEAR(МарВс1+26)=КалендарныйГод,MONTH(МарВс1+26)=3),МарВс1+26,""))</f>
        <v>44280</v>
      </c>
      <c r="AC17" s="11">
        <f>IF(DAY(МарВс1)=1,IF(AND(YEAR(МарВс1+20)=КалендарныйГод,MONTH(МарВс1+20)=3),МарВс1+20,""),IF(AND(YEAR(МарВс1+27)=КалендарныйГод,MONTH(МарВс1+27)=3),МарВс1+27,""))</f>
        <v>44281</v>
      </c>
      <c r="AD17" s="11">
        <f>IF(DAY(МарВс1)=1,IF(AND(YEAR(МарВс1+21)=КалендарныйГод,MONTH(МарВс1+21)=3),МарВс1+21,""),IF(AND(YEAR(МарВс1+28)=КалендарныйГод,MONTH(МарВс1+28)=3),МарВс1+28,""))</f>
        <v>44282</v>
      </c>
      <c r="AE17" s="11">
        <f>IF(DAY(МарВс1)=1,IF(AND(YEAR(МарВс1+22)=КалендарныйГод,MONTH(МарВс1+22)=3),МарВс1+22,""),IF(AND(YEAR(МарВс1+29)=КалендарныйГод,MONTH(МарВс1+29)=3),МарВс1+29,""))</f>
        <v>44283</v>
      </c>
      <c r="AF17" s="11">
        <f>IF(DAY(МарВс1)=1,IF(AND(YEAR(МарВс1+23)=КалендарныйГод,MONTH(МарВс1+23)=3),МарВс1+23,""),IF(AND(YEAR(МарВс1+30)=КалендарныйГод,MONTH(МарВс1+30)=3),МарВс1+30,""))</f>
        <v>44284</v>
      </c>
      <c r="AG17" s="11">
        <f>IF(DAY(МарВс1)=1,IF(AND(YEAR(МарВс1+24)=КалендарныйГод,MONTH(МарВс1+24)=3),МарВс1+24,""),IF(AND(YEAR(МарВс1+31)=КалендарныйГод,MONTH(МарВс1+31)=3),МарВс1+31,""))</f>
        <v>44285</v>
      </c>
      <c r="AH17" s="11">
        <f>IF(DAY(МарВс1)=1,IF(AND(YEAR(МарВс1+25)=КалендарныйГод,MONTH(МарВс1+25)=3),МарВс1+25,""),IF(AND(YEAR(МарВс1+32)=КалендарныйГод,MONTH(МарВс1+32)=3),МарВс1+32,""))</f>
        <v>44286</v>
      </c>
      <c r="AI17" s="11" t="str">
        <f>IF(DAY(МарВс1)=1,IF(AND(YEAR(МарВс1+26)=КалендарныйГод,MONTH(МарВс1+26)=3),МарВс1+26,""),IF(AND(YEAR(МарВс1+33)=КалендарныйГод,MONTH(МарВс1+33)=3),МарВс1+33,""))</f>
        <v/>
      </c>
      <c r="AJ17" s="11" t="str">
        <f>IF(DAY(МарВс1)=1,IF(AND(YEAR(МарВс1+27)=КалендарныйГод,MONTH(МарВс1+27)=3),МарВс1+27,""),IF(AND(YEAR(МарВс1+34)=КалендарныйГод,MONTH(МарВс1+34)=3),МарВс1+34,""))</f>
        <v/>
      </c>
      <c r="AK17" s="11" t="str">
        <f>IF(DAY(МарВс1)=1,IF(AND(YEAR(МарВс1+28)=КалендарныйГод,MONTH(МарВс1+28)=3),МарВс1+28,""),IF(AND(YEAR(МарВс1+35)=КалендарныйГод,MONTH(МарВс1+35)=3),МарВс1+35,""))</f>
        <v/>
      </c>
      <c r="AL17" s="11" t="str">
        <f>IF(DAY(МарВс1)=1,IF(AND(YEAR(МарВс1+29)=КалендарныйГод,MONTH(МарВс1+29)=3),МарВс1+29,""),IF(AND(YEAR(МарВс1+36)=КалендарныйГод,MONTH(МарВс1+36)=3),МарВс1+36,""))</f>
        <v/>
      </c>
      <c r="AM17" s="12" t="str">
        <f>IF(DAY(МарВс1)=1,IF(AND(YEAR(МарВс1+30)=КалендарныйГод,MONTH(МарВс1+30)=3),МарВс1+30,""),IF(AND(YEAR(МарВс1+37)=КалендарныйГод,MONTH(МарВс1+37)=3),МарВс1+37,""))</f>
        <v/>
      </c>
    </row>
    <row r="18" spans="2:39" s="9" customFormat="1" ht="18.95" customHeight="1" x14ac:dyDescent="0.3">
      <c r="B18" s="24"/>
      <c r="C18" s="10" t="s">
        <v>0</v>
      </c>
      <c r="D18" s="10" t="s">
        <v>1</v>
      </c>
      <c r="E18" s="10" t="s">
        <v>2</v>
      </c>
      <c r="F18" s="10" t="s">
        <v>3</v>
      </c>
      <c r="G18" s="10" t="s">
        <v>4</v>
      </c>
      <c r="H18" s="10" t="s">
        <v>5</v>
      </c>
      <c r="I18" s="10" t="s">
        <v>6</v>
      </c>
      <c r="J18" s="10" t="s">
        <v>0</v>
      </c>
      <c r="K18" s="10" t="s">
        <v>1</v>
      </c>
      <c r="L18" s="10" t="s">
        <v>2</v>
      </c>
      <c r="M18" s="10" t="s">
        <v>3</v>
      </c>
      <c r="N18" s="10" t="s">
        <v>4</v>
      </c>
      <c r="O18" s="10" t="s">
        <v>5</v>
      </c>
      <c r="P18" s="10" t="s">
        <v>6</v>
      </c>
      <c r="Q18" s="10" t="s">
        <v>0</v>
      </c>
      <c r="R18" s="10" t="s">
        <v>1</v>
      </c>
      <c r="S18" s="10" t="s">
        <v>2</v>
      </c>
      <c r="T18" s="10" t="s">
        <v>3</v>
      </c>
      <c r="U18" s="10" t="s">
        <v>4</v>
      </c>
      <c r="V18" s="10" t="s">
        <v>5</v>
      </c>
      <c r="W18" s="10" t="s">
        <v>6</v>
      </c>
      <c r="X18" s="10" t="s">
        <v>0</v>
      </c>
      <c r="Y18" s="10" t="s">
        <v>1</v>
      </c>
      <c r="Z18" s="10" t="s">
        <v>2</v>
      </c>
      <c r="AA18" s="10" t="s">
        <v>3</v>
      </c>
      <c r="AB18" s="10" t="s">
        <v>4</v>
      </c>
      <c r="AC18" s="10" t="s">
        <v>5</v>
      </c>
      <c r="AD18" s="10" t="s">
        <v>6</v>
      </c>
      <c r="AE18" s="10" t="s">
        <v>0</v>
      </c>
      <c r="AF18" s="10" t="s">
        <v>1</v>
      </c>
      <c r="AG18" s="10" t="s">
        <v>2</v>
      </c>
      <c r="AH18" s="10" t="s">
        <v>3</v>
      </c>
      <c r="AI18" s="10" t="s">
        <v>4</v>
      </c>
      <c r="AJ18" s="10" t="s">
        <v>5</v>
      </c>
      <c r="AK18" s="10" t="s">
        <v>6</v>
      </c>
      <c r="AL18" s="10" t="s">
        <v>0</v>
      </c>
      <c r="AM18" s="13" t="s">
        <v>1</v>
      </c>
    </row>
    <row r="19" spans="2:39" ht="18.95" customHeight="1" x14ac:dyDescent="0.3">
      <c r="B19" s="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2:39" ht="18.95" customHeight="1" x14ac:dyDescent="0.3">
      <c r="B20" s="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2:39" ht="18.95" customHeight="1" x14ac:dyDescent="0.3">
      <c r="B21" s="8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2:39" ht="12" customHeight="1" x14ac:dyDescent="0.3"/>
    <row r="23" spans="2:39" s="9" customFormat="1" ht="18.95" customHeight="1" x14ac:dyDescent="0.3">
      <c r="B23" s="23">
        <f>DATE(КалендарныйГод,4,1)</f>
        <v>44287</v>
      </c>
      <c r="C23" s="11" t="str">
        <f>IF(DAY(АпрВс1)=1,"",IF(AND(YEAR(АпрВс1+1)=КалендарныйГод,MONTH(АпрВс1+1)=4),АпрВс1+1,""))</f>
        <v/>
      </c>
      <c r="D23" s="11" t="str">
        <f>IF(DAY(АпрВс1)=1,"",IF(AND(YEAR(АпрВс1+2)=КалендарныйГод,MONTH(АпрВс1+2)=4),АпрВс1+2,""))</f>
        <v/>
      </c>
      <c r="E23" s="11" t="str">
        <f>IF(DAY(АпрВс1)=1,"",IF(AND(YEAR(АпрВс1+3)=КалендарныйГод,MONTH(АпрВс1+3)=4),АпрВс1+3,""))</f>
        <v/>
      </c>
      <c r="F23" s="11" t="str">
        <f>IF(DAY(АпрВс1)=1,"",IF(AND(YEAR(АпрВс1+4)=КалендарныйГод,MONTH(АпрВс1+4)=4),АпрВс1+4,""))</f>
        <v/>
      </c>
      <c r="G23" s="11">
        <f>IF(DAY(АпрВс1)=1,"",IF(AND(YEAR(АпрВс1+5)=КалендарныйГод,MONTH(АпрВс1+5)=4),АпрВс1+5,""))</f>
        <v>44287</v>
      </c>
      <c r="H23" s="11">
        <f>IF(DAY(АпрВс1)=1,"",IF(AND(YEAR(АпрВс1+6)=КалендарныйГод,MONTH(АпрВс1+6)=4),АпрВс1+6,""))</f>
        <v>44288</v>
      </c>
      <c r="I23" s="11">
        <f>IF(DAY(АпрВс1)=1,IF(AND(YEAR(АпрВс1)=КалендарныйГод,MONTH(АпрВс1)=4),АпрВс1,""),IF(AND(YEAR(АпрВс1+7)=КалендарныйГод,MONTH(АпрВс1+7)=4),АпрВс1+7,""))</f>
        <v>44289</v>
      </c>
      <c r="J23" s="11">
        <f>IF(DAY(АпрВс1)=1,IF(AND(YEAR(АпрВс1+1)=КалендарныйГод,MONTH(АпрВс1+1)=4),АпрВс1+1,""),IF(AND(YEAR(АпрВс1+8)=КалендарныйГод,MONTH(АпрВс1+8)=4),АпрВс1+8,""))</f>
        <v>44290</v>
      </c>
      <c r="K23" s="11">
        <f>IF(DAY(АпрВс1)=1,IF(AND(YEAR(АпрВс1+2)=КалендарныйГод,MONTH(АпрВс1+2)=4),АпрВс1+2,""),IF(AND(YEAR(АпрВс1+9)=КалендарныйГод,MONTH(АпрВс1+9)=4),АпрВс1+9,""))</f>
        <v>44291</v>
      </c>
      <c r="L23" s="11">
        <f>IF(DAY(АпрВс1)=1,IF(AND(YEAR(АпрВс1+3)=КалендарныйГод,MONTH(АпрВс1+3)=4),АпрВс1+3,""),IF(AND(YEAR(АпрВс1+10)=КалендарныйГод,MONTH(АпрВс1+10)=4),АпрВс1+10,""))</f>
        <v>44292</v>
      </c>
      <c r="M23" s="11">
        <f>IF(DAY(АпрВс1)=1,IF(AND(YEAR(АпрВс1+4)=КалендарныйГод,MONTH(АпрВс1+4)=4),АпрВс1+4,""),IF(AND(YEAR(АпрВс1+11)=КалендарныйГод,MONTH(АпрВс1+11)=4),АпрВс1+11,""))</f>
        <v>44293</v>
      </c>
      <c r="N23" s="11">
        <f>IF(DAY(АпрВс1)=1,IF(AND(YEAR(АпрВс1+5)=КалендарныйГод,MONTH(АпрВс1+5)=4),АпрВс1+5,""),IF(AND(YEAR(АпрВс1+12)=КалендарныйГод,MONTH(АпрВс1+12)=4),АпрВс1+12,""))</f>
        <v>44294</v>
      </c>
      <c r="O23" s="11">
        <f>IF(DAY(АпрВс1)=1,IF(AND(YEAR(АпрВс1+6)=КалендарныйГод,MONTH(АпрВс1+6)=4),АпрВс1+6,""),IF(AND(YEAR(АпрВс1+13)=КалендарныйГод,MONTH(АпрВс1+13)=4),АпрВс1+13,""))</f>
        <v>44295</v>
      </c>
      <c r="P23" s="11">
        <f>IF(DAY(АпрВс1)=1,IF(AND(YEAR(АпрВс1+7)=КалендарныйГод,MONTH(АпрВс1+7)=4),АпрВс1+7,""),IF(AND(YEAR(АпрВс1+14)=КалендарныйГод,MONTH(АпрВс1+14)=4),АпрВс1+14,""))</f>
        <v>44296</v>
      </c>
      <c r="Q23" s="11">
        <f>IF(DAY(АпрВс1)=1,IF(AND(YEAR(АпрВс1+8)=КалендарныйГод,MONTH(АпрВс1+8)=4),АпрВс1+8,""),IF(AND(YEAR(АпрВс1+15)=КалендарныйГод,MONTH(АпрВс1+15)=4),АпрВс1+15,""))</f>
        <v>44297</v>
      </c>
      <c r="R23" s="11">
        <f>IF(DAY(АпрВс1)=1,IF(AND(YEAR(АпрВс1+9)=КалендарныйГод,MONTH(АпрВс1+9)=4),АпрВс1+9,""),IF(AND(YEAR(АпрВс1+16)=КалендарныйГод,MONTH(АпрВс1+16)=4),АпрВс1+16,""))</f>
        <v>44298</v>
      </c>
      <c r="S23" s="11">
        <f>IF(DAY(АпрВс1)=1,IF(AND(YEAR(АпрВс1+10)=КалендарныйГод,MONTH(АпрВс1+10)=4),АпрВс1+10,""),IF(AND(YEAR(АпрВс1+17)=КалендарныйГод,MONTH(АпрВс1+17)=4),АпрВс1+17,""))</f>
        <v>44299</v>
      </c>
      <c r="T23" s="11">
        <f>IF(DAY(АпрВс1)=1,IF(AND(YEAR(АпрВс1+11)=КалендарныйГод,MONTH(АпрВс1+11)=4),АпрВс1+11,""),IF(AND(YEAR(АпрВс1+18)=КалендарныйГод,MONTH(АпрВс1+18)=4),АпрВс1+18,""))</f>
        <v>44300</v>
      </c>
      <c r="U23" s="11">
        <f>IF(DAY(АпрВс1)=1,IF(AND(YEAR(АпрВс1+12)=КалендарныйГод,MONTH(АпрВс1+12)=4),АпрВс1+12,""),IF(AND(YEAR(АпрВс1+19)=КалендарныйГод,MONTH(АпрВс1+19)=4),АпрВс1+19,""))</f>
        <v>44301</v>
      </c>
      <c r="V23" s="11">
        <f>IF(DAY(АпрВс1)=1,IF(AND(YEAR(АпрВс1+13)=КалендарныйГод,MONTH(АпрВс1+13)=4),АпрВс1+13,""),IF(AND(YEAR(АпрВс1+20)=КалендарныйГод,MONTH(АпрВс1+20)=4),АпрВс1+20,""))</f>
        <v>44302</v>
      </c>
      <c r="W23" s="11">
        <f>IF(DAY(АпрВс1)=1,IF(AND(YEAR(АпрВс1+14)=КалендарныйГод,MONTH(АпрВс1+14)=4),АпрВс1+14,""),IF(AND(YEAR(АпрВс1+21)=КалендарныйГод,MONTH(АпрВс1+21)=4),АпрВс1+21,""))</f>
        <v>44303</v>
      </c>
      <c r="X23" s="11">
        <f>IF(DAY(АпрВс1)=1,IF(AND(YEAR(АпрВс1+15)=КалендарныйГод,MONTH(АпрВс1+15)=4),АпрВс1+15,""),IF(AND(YEAR(АпрВс1+22)=КалендарныйГод,MONTH(АпрВс1+22)=4),АпрВс1+22,""))</f>
        <v>44304</v>
      </c>
      <c r="Y23" s="11">
        <f>IF(DAY(АпрВс1)=1,IF(AND(YEAR(АпрВс1+16)=КалендарныйГод,MONTH(АпрВс1+16)=4),АпрВс1+16,""),IF(AND(YEAR(АпрВс1+23)=КалендарныйГод,MONTH(АпрВс1+23)=4),АпрВс1+23,""))</f>
        <v>44305</v>
      </c>
      <c r="Z23" s="11">
        <f>IF(DAY(АпрВс1)=1,IF(AND(YEAR(АпрВс1+17)=КалендарныйГод,MONTH(АпрВс1+17)=4),АпрВс1+17,""),IF(AND(YEAR(АпрВс1+24)=КалендарныйГод,MONTH(АпрВс1+24)=4),АпрВс1+24,""))</f>
        <v>44306</v>
      </c>
      <c r="AA23" s="11">
        <f>IF(DAY(АпрВс1)=1,IF(AND(YEAR(АпрВс1+18)=КалендарныйГод,MONTH(АпрВс1+18)=4),АпрВс1+18,""),IF(AND(YEAR(АпрВс1+25)=КалендарныйГод,MONTH(АпрВс1+25)=4),АпрВс1+25,""))</f>
        <v>44307</v>
      </c>
      <c r="AB23" s="11">
        <f>IF(DAY(АпрВс1)=1,IF(AND(YEAR(АпрВс1+19)=КалендарныйГод,MONTH(АпрВс1+19)=4),АпрВс1+19,""),IF(AND(YEAR(АпрВс1+26)=КалендарныйГод,MONTH(АпрВс1+26)=4),АпрВс1+26,""))</f>
        <v>44308</v>
      </c>
      <c r="AC23" s="11">
        <f>IF(DAY(АпрВс1)=1,IF(AND(YEAR(АпрВс1+20)=КалендарныйГод,MONTH(АпрВс1+20)=4),АпрВс1+20,""),IF(AND(YEAR(АпрВс1+27)=КалендарныйГод,MONTH(АпрВс1+27)=4),АпрВс1+27,""))</f>
        <v>44309</v>
      </c>
      <c r="AD23" s="11">
        <f>IF(DAY(АпрВс1)=1,IF(AND(YEAR(АпрВс1+21)=КалендарныйГод,MONTH(АпрВс1+21)=4),АпрВс1+21,""),IF(AND(YEAR(АпрВс1+28)=КалендарныйГод,MONTH(АпрВс1+28)=4),АпрВс1+28,""))</f>
        <v>44310</v>
      </c>
      <c r="AE23" s="11">
        <f>IF(DAY(АпрВс1)=1,IF(AND(YEAR(АпрВс1+22)=КалендарныйГод,MONTH(АпрВс1+22)=4),АпрВс1+22,""),IF(AND(YEAR(АпрВс1+29)=КалендарныйГод,MONTH(АпрВс1+29)=4),АпрВс1+29,""))</f>
        <v>44311</v>
      </c>
      <c r="AF23" s="11">
        <f>IF(DAY(АпрВс1)=1,IF(AND(YEAR(АпрВс1+23)=КалендарныйГод,MONTH(АпрВс1+23)=4),АпрВс1+23,""),IF(AND(YEAR(АпрВс1+30)=КалендарныйГод,MONTH(АпрВс1+30)=4),АпрВс1+30,""))</f>
        <v>44312</v>
      </c>
      <c r="AG23" s="11">
        <f>IF(DAY(АпрВс1)=1,IF(AND(YEAR(АпрВс1+24)=КалендарныйГод,MONTH(АпрВс1+24)=4),АпрВс1+24,""),IF(AND(YEAR(АпрВс1+31)=КалендарныйГод,MONTH(АпрВс1+31)=4),АпрВс1+31,""))</f>
        <v>44313</v>
      </c>
      <c r="AH23" s="11">
        <f>IF(DAY(АпрВс1)=1,IF(AND(YEAR(АпрВс1+25)=КалендарныйГод,MONTH(АпрВс1+25)=4),АпрВс1+25,""),IF(AND(YEAR(АпрВс1+32)=КалендарныйГод,MONTH(АпрВс1+32)=4),АпрВс1+32,""))</f>
        <v>44314</v>
      </c>
      <c r="AI23" s="11">
        <f>IF(DAY(АпрВс1)=1,IF(AND(YEAR(АпрВс1+26)=КалендарныйГод,MONTH(АпрВс1+26)=4),АпрВс1+26,""),IF(AND(YEAR(АпрВс1+33)=КалендарныйГод,MONTH(АпрВс1+33)=4),АпрВс1+33,""))</f>
        <v>44315</v>
      </c>
      <c r="AJ23" s="11">
        <f>IF(DAY(АпрВс1)=1,IF(AND(YEAR(АпрВс1+27)=КалендарныйГод,MONTH(АпрВс1+27)=4),АпрВс1+27,""),IF(AND(YEAR(АпрВс1+34)=КалендарныйГод,MONTH(АпрВс1+34)=4),АпрВс1+34,""))</f>
        <v>44316</v>
      </c>
      <c r="AK23" s="11" t="str">
        <f>IF(DAY(АпрВс1)=1,IF(AND(YEAR(АпрВс1+28)=КалендарныйГод,MONTH(АпрВс1+28)=4),АпрВс1+28,""),IF(AND(YEAR(АпрВс1+35)=КалендарныйГод,MONTH(АпрВс1+35)=4),АпрВс1+35,""))</f>
        <v/>
      </c>
      <c r="AL23" s="11" t="str">
        <f>IF(DAY(АпрВс1)=1,IF(AND(YEAR(АпрВс1+29)=КалендарныйГод,MONTH(АпрВс1+29)=4),АпрВс1+29,""),IF(AND(YEAR(АпрВс1+36)=КалендарныйГод,MONTH(АпрВс1+36)=4),АпрВс1+36,""))</f>
        <v/>
      </c>
      <c r="AM23" s="12" t="str">
        <f>IF(DAY(АпрВс1)=1,IF(AND(YEAR(АпрВс1+30)=КалендарныйГод,MONTH(АпрВс1+30)=4),АпрВс1+30,""),IF(AND(YEAR(АпрВс1+37)=КалендарныйГод,MONTH(АпрВс1+37)=4),АпрВс1+37,""))</f>
        <v/>
      </c>
    </row>
    <row r="24" spans="2:39" s="9" customFormat="1" ht="18.95" customHeight="1" x14ac:dyDescent="0.3">
      <c r="B24" s="24"/>
      <c r="C24" s="10" t="s">
        <v>0</v>
      </c>
      <c r="D24" s="10" t="s">
        <v>1</v>
      </c>
      <c r="E24" s="10" t="s">
        <v>2</v>
      </c>
      <c r="F24" s="10" t="s">
        <v>3</v>
      </c>
      <c r="G24" s="10" t="s">
        <v>4</v>
      </c>
      <c r="H24" s="10" t="s">
        <v>5</v>
      </c>
      <c r="I24" s="10" t="s">
        <v>6</v>
      </c>
      <c r="J24" s="10" t="s">
        <v>0</v>
      </c>
      <c r="K24" s="10" t="s">
        <v>1</v>
      </c>
      <c r="L24" s="10" t="s">
        <v>2</v>
      </c>
      <c r="M24" s="10" t="s">
        <v>3</v>
      </c>
      <c r="N24" s="10" t="s">
        <v>4</v>
      </c>
      <c r="O24" s="10" t="s">
        <v>5</v>
      </c>
      <c r="P24" s="10" t="s">
        <v>6</v>
      </c>
      <c r="Q24" s="10" t="s">
        <v>0</v>
      </c>
      <c r="R24" s="10" t="s">
        <v>1</v>
      </c>
      <c r="S24" s="10" t="s">
        <v>2</v>
      </c>
      <c r="T24" s="10" t="s">
        <v>3</v>
      </c>
      <c r="U24" s="10" t="s">
        <v>4</v>
      </c>
      <c r="V24" s="10" t="s">
        <v>5</v>
      </c>
      <c r="W24" s="10" t="s">
        <v>6</v>
      </c>
      <c r="X24" s="10" t="s">
        <v>0</v>
      </c>
      <c r="Y24" s="10" t="s">
        <v>1</v>
      </c>
      <c r="Z24" s="10" t="s">
        <v>2</v>
      </c>
      <c r="AA24" s="10" t="s">
        <v>3</v>
      </c>
      <c r="AB24" s="10" t="s">
        <v>4</v>
      </c>
      <c r="AC24" s="10" t="s">
        <v>5</v>
      </c>
      <c r="AD24" s="10" t="s">
        <v>6</v>
      </c>
      <c r="AE24" s="10" t="s">
        <v>0</v>
      </c>
      <c r="AF24" s="10" t="s">
        <v>1</v>
      </c>
      <c r="AG24" s="10" t="s">
        <v>2</v>
      </c>
      <c r="AH24" s="10" t="s">
        <v>3</v>
      </c>
      <c r="AI24" s="10" t="s">
        <v>4</v>
      </c>
      <c r="AJ24" s="10" t="s">
        <v>5</v>
      </c>
      <c r="AK24" s="10" t="s">
        <v>6</v>
      </c>
      <c r="AL24" s="10" t="s">
        <v>0</v>
      </c>
      <c r="AM24" s="13" t="s">
        <v>1</v>
      </c>
    </row>
    <row r="25" spans="2:39" ht="18.95" customHeight="1" x14ac:dyDescent="0.3">
      <c r="B25" s="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2:39" ht="18.95" customHeight="1" x14ac:dyDescent="0.3">
      <c r="B26" s="8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</row>
    <row r="27" spans="2:39" ht="18.95" customHeight="1" x14ac:dyDescent="0.3">
      <c r="B27" s="8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2:39" ht="12" customHeight="1" x14ac:dyDescent="0.3"/>
    <row r="29" spans="2:39" s="9" customFormat="1" ht="18.95" customHeight="1" x14ac:dyDescent="0.3">
      <c r="B29" s="23">
        <f>DATE(КалендарныйГод,5,1)</f>
        <v>44317</v>
      </c>
      <c r="C29" s="11" t="str">
        <f>IF(DAY(МайВс1)=1,"",IF(AND(YEAR(МайВс1+1)=КалендарныйГод,MONTH(МайВс1+1)=5),МайВс1+1,""))</f>
        <v/>
      </c>
      <c r="D29" s="11" t="str">
        <f>IF(DAY(МайВс1)=1,"",IF(AND(YEAR(МайВс1+2)=КалендарныйГод,MONTH(МайВс1+2)=5),МайВс1+2,""))</f>
        <v/>
      </c>
      <c r="E29" s="11" t="str">
        <f>IF(DAY(МайВс1)=1,"",IF(AND(YEAR(МайВс1+3)=КалендарныйГод,MONTH(МайВс1+3)=5),МайВс1+3,""))</f>
        <v/>
      </c>
      <c r="F29" s="11" t="str">
        <f>IF(DAY(МайВс1)=1,"",IF(AND(YEAR(МайВс1+4)=КалендарныйГод,MONTH(МайВс1+4)=5),МайВс1+4,""))</f>
        <v/>
      </c>
      <c r="G29" s="11" t="str">
        <f>IF(DAY(МайВс1)=1,"",IF(AND(YEAR(МайВс1+5)=КалендарныйГод,MONTH(МайВс1+5)=5),МайВс1+5,""))</f>
        <v/>
      </c>
      <c r="H29" s="11" t="str">
        <f>IF(DAY(МайВс1)=1,"",IF(AND(YEAR(МайВс1+6)=КалендарныйГод,MONTH(МайВс1+6)=5),МайВс1+6,""))</f>
        <v/>
      </c>
      <c r="I29" s="11">
        <f>IF(DAY(МайВс1)=1,IF(AND(YEAR(МайВс1)=КалендарныйГод,MONTH(МайВс1)=5),МайВс1,""),IF(AND(YEAR(МайВс1+7)=КалендарныйГод,MONTH(МайВс1+7)=5),МайВс1+7,""))</f>
        <v>44317</v>
      </c>
      <c r="J29" s="11">
        <f>IF(DAY(МайВс1)=1,IF(AND(YEAR(МайВс1+1)=КалендарныйГод,MONTH(МайВс1+1)=5),МайВс1+1,""),IF(AND(YEAR(МайВс1+8)=КалендарныйГод,MONTH(МайВс1+8)=5),МайВс1+8,""))</f>
        <v>44318</v>
      </c>
      <c r="K29" s="11">
        <f>IF(DAY(МайВс1)=1,IF(AND(YEAR(МайВс1+2)=КалендарныйГод,MONTH(МайВс1+2)=5),МайВс1+2,""),IF(AND(YEAR(МайВс1+9)=КалендарныйГод,MONTH(МайВс1+9)=5),МайВс1+9,""))</f>
        <v>44319</v>
      </c>
      <c r="L29" s="11">
        <f>IF(DAY(МайВс1)=1,IF(AND(YEAR(МайВс1+3)=КалендарныйГод,MONTH(МайВс1+3)=5),МайВс1+3,""),IF(AND(YEAR(МайВс1+10)=КалендарныйГод,MONTH(МайВс1+10)=5),МайВс1+10,""))</f>
        <v>44320</v>
      </c>
      <c r="M29" s="11">
        <f>IF(DAY(МайВс1)=1,IF(AND(YEAR(МайВс1+4)=КалендарныйГод,MONTH(МайВс1+4)=5),МайВс1+4,""),IF(AND(YEAR(МайВс1+11)=КалендарныйГод,MONTH(МайВс1+11)=5),МайВс1+11,""))</f>
        <v>44321</v>
      </c>
      <c r="N29" s="11">
        <f>IF(DAY(МайВс1)=1,IF(AND(YEAR(МайВс1+5)=КалендарныйГод,MONTH(МайВс1+5)=5),МайВс1+5,""),IF(AND(YEAR(МайВс1+12)=КалендарныйГод,MONTH(МайВс1+12)=5),МайВс1+12,""))</f>
        <v>44322</v>
      </c>
      <c r="O29" s="11">
        <f>IF(DAY(МайВс1)=1,IF(AND(YEAR(МайВс1+6)=КалендарныйГод,MONTH(МайВс1+6)=5),МайВс1+6,""),IF(AND(YEAR(МайВс1+13)=КалендарныйГод,MONTH(МайВс1+13)=5),МайВс1+13,""))</f>
        <v>44323</v>
      </c>
      <c r="P29" s="11">
        <f>IF(DAY(МайВс1)=1,IF(AND(YEAR(МайВс1+7)=КалендарныйГод,MONTH(МайВс1+7)=5),МайВс1+7,""),IF(AND(YEAR(МайВс1+14)=КалендарныйГод,MONTH(МайВс1+14)=5),МайВс1+14,""))</f>
        <v>44324</v>
      </c>
      <c r="Q29" s="11">
        <f>IF(DAY(МайВс1)=1,IF(AND(YEAR(МайВс1+8)=КалендарныйГод,MONTH(МайВс1+8)=5),МайВс1+8,""),IF(AND(YEAR(МайВс1+15)=КалендарныйГод,MONTH(МайВс1+15)=5),МайВс1+15,""))</f>
        <v>44325</v>
      </c>
      <c r="R29" s="11">
        <f>IF(DAY(МайВс1)=1,IF(AND(YEAR(МайВс1+9)=КалендарныйГод,MONTH(МайВс1+9)=5),МайВс1+9,""),IF(AND(YEAR(МайВс1+16)=КалендарныйГод,MONTH(МайВс1+16)=5),МайВс1+16,""))</f>
        <v>44326</v>
      </c>
      <c r="S29" s="11">
        <f>IF(DAY(МайВс1)=1,IF(AND(YEAR(МайВс1+10)=КалендарныйГод,MONTH(МайВс1+10)=5),МайВс1+10,""),IF(AND(YEAR(МайВс1+17)=КалендарныйГод,MONTH(МайВс1+17)=5),МайВс1+17,""))</f>
        <v>44327</v>
      </c>
      <c r="T29" s="11">
        <f>IF(DAY(МайВс1)=1,IF(AND(YEAR(МайВс1+11)=КалендарныйГод,MONTH(МайВс1+11)=5),МайВс1+11,""),IF(AND(YEAR(МайВс1+18)=КалендарныйГод,MONTH(МайВс1+18)=5),МайВс1+18,""))</f>
        <v>44328</v>
      </c>
      <c r="U29" s="11">
        <f>IF(DAY(МайВс1)=1,IF(AND(YEAR(МайВс1+12)=КалендарныйГод,MONTH(МайВс1+12)=5),МайВс1+12,""),IF(AND(YEAR(МайВс1+19)=КалендарныйГод,MONTH(МайВс1+19)=5),МайВс1+19,""))</f>
        <v>44329</v>
      </c>
      <c r="V29" s="11">
        <f>IF(DAY(МайВс1)=1,IF(AND(YEAR(МайВс1+13)=КалендарныйГод,MONTH(МайВс1+13)=5),МайВс1+13,""),IF(AND(YEAR(МайВс1+20)=КалендарныйГод,MONTH(МайВс1+20)=5),МайВс1+20,""))</f>
        <v>44330</v>
      </c>
      <c r="W29" s="11">
        <f>IF(DAY(МайВс1)=1,IF(AND(YEAR(МайВс1+14)=КалендарныйГод,MONTH(МайВс1+14)=5),МайВс1+14,""),IF(AND(YEAR(МайВс1+21)=КалендарныйГод,MONTH(МайВс1+21)=5),МайВс1+21,""))</f>
        <v>44331</v>
      </c>
      <c r="X29" s="11">
        <f>IF(DAY(МайВс1)=1,IF(AND(YEAR(МайВс1+15)=КалендарныйГод,MONTH(МайВс1+15)=5),МайВс1+15,""),IF(AND(YEAR(МайВс1+22)=КалендарныйГод,MONTH(МайВс1+22)=5),МайВс1+22,""))</f>
        <v>44332</v>
      </c>
      <c r="Y29" s="11">
        <f>IF(DAY(МайВс1)=1,IF(AND(YEAR(МайВс1+16)=КалендарныйГод,MONTH(МайВс1+16)=5),МайВс1+16,""),IF(AND(YEAR(МайВс1+23)=КалендарныйГод,MONTH(МайВс1+23)=5),МайВс1+23,""))</f>
        <v>44333</v>
      </c>
      <c r="Z29" s="11">
        <f>IF(DAY(МайВс1)=1,IF(AND(YEAR(МайВс1+17)=КалендарныйГод,MONTH(МайВс1+17)=5),МайВс1+17,""),IF(AND(YEAR(МайВс1+24)=КалендарныйГод,MONTH(МайВс1+24)=5),МайВс1+24,""))</f>
        <v>44334</v>
      </c>
      <c r="AA29" s="11">
        <f>IF(DAY(МайВс1)=1,IF(AND(YEAR(МайВс1+18)=КалендарныйГод,MONTH(МайВс1+18)=5),МайВс1+18,""),IF(AND(YEAR(МайВс1+25)=КалендарныйГод,MONTH(МайВс1+25)=5),МайВс1+25,""))</f>
        <v>44335</v>
      </c>
      <c r="AB29" s="11">
        <f>IF(DAY(МайВс1)=1,IF(AND(YEAR(МайВс1+19)=КалендарныйГод,MONTH(МайВс1+19)=5),МайВс1+19,""),IF(AND(YEAR(МайВс1+26)=КалендарныйГод,MONTH(МайВс1+26)=5),МайВс1+26,""))</f>
        <v>44336</v>
      </c>
      <c r="AC29" s="11">
        <f>IF(DAY(МайВс1)=1,IF(AND(YEAR(МайВс1+20)=КалендарныйГод,MONTH(МайВс1+20)=5),МайВс1+20,""),IF(AND(YEAR(МайВс1+27)=КалендарныйГод,MONTH(МайВс1+27)=5),МайВс1+27,""))</f>
        <v>44337</v>
      </c>
      <c r="AD29" s="11">
        <f>IF(DAY(МайВс1)=1,IF(AND(YEAR(МайВс1+21)=КалендарныйГод,MONTH(МайВс1+21)=5),МайВс1+21,""),IF(AND(YEAR(МайВс1+28)=КалендарныйГод,MONTH(МайВс1+28)=5),МайВс1+28,""))</f>
        <v>44338</v>
      </c>
      <c r="AE29" s="11">
        <f>IF(DAY(МайВс1)=1,IF(AND(YEAR(МайВс1+22)=КалендарныйГод,MONTH(МайВс1+22)=5),МайВс1+22,""),IF(AND(YEAR(МайВс1+29)=КалендарныйГод,MONTH(МайВс1+29)=5),МайВс1+29,""))</f>
        <v>44339</v>
      </c>
      <c r="AF29" s="11">
        <f>IF(DAY(МайВс1)=1,IF(AND(YEAR(МайВс1+23)=КалендарныйГод,MONTH(МайВс1+23)=5),МайВс1+23,""),IF(AND(YEAR(МайВс1+30)=КалендарныйГод,MONTH(МайВс1+30)=5),МайВс1+30,""))</f>
        <v>44340</v>
      </c>
      <c r="AG29" s="11">
        <f>IF(DAY(МайВс1)=1,IF(AND(YEAR(МайВс1+24)=КалендарныйГод,MONTH(МайВс1+24)=5),МайВс1+24,""),IF(AND(YEAR(МайВс1+31)=КалендарныйГод,MONTH(МайВс1+31)=5),МайВс1+31,""))</f>
        <v>44341</v>
      </c>
      <c r="AH29" s="11">
        <f>IF(DAY(МайВс1)=1,IF(AND(YEAR(МайВс1+25)=КалендарныйГод,MONTH(МайВс1+25)=5),МайВс1+25,""),IF(AND(YEAR(МайВс1+32)=КалендарныйГод,MONTH(МайВс1+32)=5),МайВс1+32,""))</f>
        <v>44342</v>
      </c>
      <c r="AI29" s="11">
        <f>IF(DAY(МайВс1)=1,IF(AND(YEAR(МайВс1+26)=КалендарныйГод,MONTH(МайВс1+26)=5),МайВс1+26,""),IF(AND(YEAR(МайВс1+33)=КалендарныйГод,MONTH(МайВс1+33)=5),МайВс1+33,""))</f>
        <v>44343</v>
      </c>
      <c r="AJ29" s="11">
        <f>IF(DAY(МайВс1)=1,IF(AND(YEAR(МайВс1+27)=КалендарныйГод,MONTH(МайВс1+27)=5),МайВс1+27,""),IF(AND(YEAR(МайВс1+34)=КалендарныйГод,MONTH(МайВс1+34)=5),МайВс1+34,""))</f>
        <v>44344</v>
      </c>
      <c r="AK29" s="11">
        <f>IF(DAY(МайВс1)=1,IF(AND(YEAR(МайВс1+28)=КалендарныйГод,MONTH(МайВс1+28)=5),МайВс1+28,""),IF(AND(YEAR(МайВс1+35)=КалендарныйГод,MONTH(МайВс1+35)=5),МайВс1+35,""))</f>
        <v>44345</v>
      </c>
      <c r="AL29" s="11">
        <f>IF(DAY(МайВс1)=1,IF(AND(YEAR(МайВс1+29)=КалендарныйГод,MONTH(МайВс1+29)=5),МайВс1+29,""),IF(AND(YEAR(МайВс1+36)=КалендарныйГод,MONTH(МайВс1+36)=5),МайВс1+36,""))</f>
        <v>44346</v>
      </c>
      <c r="AM29" s="12">
        <f>IF(DAY(МайВс1)=1,IF(AND(YEAR(МайВс1+30)=КалендарныйГод,MONTH(МайВс1+30)=5),МайВс1+30,""),IF(AND(YEAR(МайВс1+37)=КалендарныйГод,MONTH(МайВс1+37)=5),МайВс1+37,""))</f>
        <v>44347</v>
      </c>
    </row>
    <row r="30" spans="2:39" s="9" customFormat="1" ht="18.95" customHeight="1" x14ac:dyDescent="0.3">
      <c r="B30" s="24"/>
      <c r="C30" s="10" t="s">
        <v>0</v>
      </c>
      <c r="D30" s="10" t="s">
        <v>1</v>
      </c>
      <c r="E30" s="10" t="s">
        <v>2</v>
      </c>
      <c r="F30" s="10" t="s">
        <v>3</v>
      </c>
      <c r="G30" s="10" t="s">
        <v>4</v>
      </c>
      <c r="H30" s="10" t="s">
        <v>5</v>
      </c>
      <c r="I30" s="10" t="s">
        <v>6</v>
      </c>
      <c r="J30" s="10" t="s">
        <v>0</v>
      </c>
      <c r="K30" s="10" t="s">
        <v>1</v>
      </c>
      <c r="L30" s="10" t="s">
        <v>2</v>
      </c>
      <c r="M30" s="10" t="s">
        <v>3</v>
      </c>
      <c r="N30" s="10" t="s">
        <v>4</v>
      </c>
      <c r="O30" s="10" t="s">
        <v>5</v>
      </c>
      <c r="P30" s="10" t="s">
        <v>6</v>
      </c>
      <c r="Q30" s="10" t="s">
        <v>0</v>
      </c>
      <c r="R30" s="10" t="s">
        <v>1</v>
      </c>
      <c r="S30" s="10" t="s">
        <v>2</v>
      </c>
      <c r="T30" s="10" t="s">
        <v>3</v>
      </c>
      <c r="U30" s="10" t="s">
        <v>4</v>
      </c>
      <c r="V30" s="10" t="s">
        <v>5</v>
      </c>
      <c r="W30" s="10" t="s">
        <v>6</v>
      </c>
      <c r="X30" s="10" t="s">
        <v>0</v>
      </c>
      <c r="Y30" s="10" t="s">
        <v>1</v>
      </c>
      <c r="Z30" s="10" t="s">
        <v>2</v>
      </c>
      <c r="AA30" s="10" t="s">
        <v>3</v>
      </c>
      <c r="AB30" s="10" t="s">
        <v>4</v>
      </c>
      <c r="AC30" s="10" t="s">
        <v>5</v>
      </c>
      <c r="AD30" s="10" t="s">
        <v>6</v>
      </c>
      <c r="AE30" s="10" t="s">
        <v>0</v>
      </c>
      <c r="AF30" s="10" t="s">
        <v>1</v>
      </c>
      <c r="AG30" s="10" t="s">
        <v>2</v>
      </c>
      <c r="AH30" s="10" t="s">
        <v>3</v>
      </c>
      <c r="AI30" s="10" t="s">
        <v>4</v>
      </c>
      <c r="AJ30" s="10" t="s">
        <v>5</v>
      </c>
      <c r="AK30" s="10" t="s">
        <v>6</v>
      </c>
      <c r="AL30" s="10" t="s">
        <v>0</v>
      </c>
      <c r="AM30" s="13" t="s">
        <v>1</v>
      </c>
    </row>
    <row r="31" spans="2:39" ht="18.95" customHeight="1" x14ac:dyDescent="0.3">
      <c r="B31" s="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2:39" ht="18.95" customHeight="1" x14ac:dyDescent="0.3">
      <c r="B32" s="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2:39" ht="18.95" customHeight="1" x14ac:dyDescent="0.3"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2:39" ht="12" customHeight="1" x14ac:dyDescent="0.3"/>
    <row r="35" spans="2:39" s="9" customFormat="1" ht="18.95" customHeight="1" x14ac:dyDescent="0.3">
      <c r="B35" s="23">
        <f>DATE(КалендарныйГод,6,1)</f>
        <v>44348</v>
      </c>
      <c r="C35" s="11" t="str">
        <f>IF(DAY(ИюнВс1)=1,"",IF(AND(YEAR(ИюнВс1+1)=КалендарныйГод,MONTH(ИюнВс1+1)=6),ИюнВс1+1,""))</f>
        <v/>
      </c>
      <c r="D35" s="11" t="str">
        <f>IF(DAY(ИюнВс1)=1,"",IF(AND(YEAR(ИюнВс1+2)=КалендарныйГод,MONTH(ИюнВс1+2)=6),ИюнВс1+2,""))</f>
        <v/>
      </c>
      <c r="E35" s="11">
        <f>IF(DAY(ИюнВс1)=1,"",IF(AND(YEAR(ИюнВс1+3)=КалендарныйГод,MONTH(ИюнВс1+3)=6),ИюнВс1+3,""))</f>
        <v>44348</v>
      </c>
      <c r="F35" s="11">
        <f>IF(DAY(ИюнВс1)=1,"",IF(AND(YEAR(ИюнВс1+4)=КалендарныйГод,MONTH(ИюнВс1+4)=6),ИюнВс1+4,""))</f>
        <v>44349</v>
      </c>
      <c r="G35" s="11">
        <f>IF(DAY(ИюнВс1)=1,"",IF(AND(YEAR(ИюнВс1+5)=КалендарныйГод,MONTH(ИюнВс1+5)=6),ИюнВс1+5,""))</f>
        <v>44350</v>
      </c>
      <c r="H35" s="11">
        <f>IF(DAY(ИюнВс1)=1,"",IF(AND(YEAR(ИюнВс1+6)=КалендарныйГод,MONTH(ИюнВс1+6)=6),ИюнВс1+6,""))</f>
        <v>44351</v>
      </c>
      <c r="I35" s="11">
        <f>IF(DAY(ИюнВс1)=1,IF(AND(YEAR(ИюнВс1)=КалендарныйГод,MONTH(ИюнВс1)=6),ИюнВс1,""),IF(AND(YEAR(ИюнВс1+7)=КалендарныйГод,MONTH(ИюнВс1+7)=6),ИюнВс1+7,""))</f>
        <v>44352</v>
      </c>
      <c r="J35" s="11">
        <f>IF(DAY(ИюнВс1)=1,IF(AND(YEAR(ИюнВс1+1)=КалендарныйГод,MONTH(ИюнВс1+1)=6),ИюнВс1+1,""),IF(AND(YEAR(ИюнВс1+8)=КалендарныйГод,MONTH(ИюнВс1+8)=6),ИюнВс1+8,""))</f>
        <v>44353</v>
      </c>
      <c r="K35" s="11">
        <f>IF(DAY(ИюнВс1)=1,IF(AND(YEAR(ИюнВс1+2)=КалендарныйГод,MONTH(ИюнВс1+2)=6),ИюнВс1+2,""),IF(AND(YEAR(ИюнВс1+9)=КалендарныйГод,MONTH(ИюнВс1+9)=6),ИюнВс1+9,""))</f>
        <v>44354</v>
      </c>
      <c r="L35" s="11">
        <f>IF(DAY(ИюнВс1)=1,IF(AND(YEAR(ИюнВс1+3)=КалендарныйГод,MONTH(ИюнВс1+3)=6),ИюнВс1+3,""),IF(AND(YEAR(ИюнВс1+10)=КалендарныйГод,MONTH(ИюнВс1+10)=6),ИюнВс1+10,""))</f>
        <v>44355</v>
      </c>
      <c r="M35" s="11">
        <f>IF(DAY(ИюнВс1)=1,IF(AND(YEAR(ИюнВс1+4)=КалендарныйГод,MONTH(ИюнВс1+4)=6),ИюнВс1+4,""),IF(AND(YEAR(ИюнВс1+11)=КалендарныйГод,MONTH(ИюнВс1+11)=6),ИюнВс1+11,""))</f>
        <v>44356</v>
      </c>
      <c r="N35" s="11">
        <f>IF(DAY(ИюнВс1)=1,IF(AND(YEAR(ИюнВс1+5)=КалендарныйГод,MONTH(ИюнВс1+5)=6),ИюнВс1+5,""),IF(AND(YEAR(ИюнВс1+12)=КалендарныйГод,MONTH(ИюнВс1+12)=6),ИюнВс1+12,""))</f>
        <v>44357</v>
      </c>
      <c r="O35" s="11">
        <f>IF(DAY(ИюнВс1)=1,IF(AND(YEAR(ИюнВс1+6)=КалендарныйГод,MONTH(ИюнВс1+6)=6),ИюнВс1+6,""),IF(AND(YEAR(ИюнВс1+13)=КалендарныйГод,MONTH(ИюнВс1+13)=6),ИюнВс1+13,""))</f>
        <v>44358</v>
      </c>
      <c r="P35" s="11">
        <f>IF(DAY(ИюнВс1)=1,IF(AND(YEAR(ИюнВс1+7)=КалендарныйГод,MONTH(ИюнВс1+7)=6),ИюнВс1+7,""),IF(AND(YEAR(ИюнВс1+14)=КалендарныйГод,MONTH(ИюнВс1+14)=6),ИюнВс1+14,""))</f>
        <v>44359</v>
      </c>
      <c r="Q35" s="11">
        <f>IF(DAY(ИюнВс1)=1,IF(AND(YEAR(ИюнВс1+8)=КалендарныйГод,MONTH(ИюнВс1+8)=6),ИюнВс1+8,""),IF(AND(YEAR(ИюнВс1+15)=КалендарныйГод,MONTH(ИюнВс1+15)=6),ИюнВс1+15,""))</f>
        <v>44360</v>
      </c>
      <c r="R35" s="11">
        <f>IF(DAY(ИюнВс1)=1,IF(AND(YEAR(ИюнВс1+9)=КалендарныйГод,MONTH(ИюнВс1+9)=6),ИюнВс1+9,""),IF(AND(YEAR(ИюнВс1+16)=КалендарныйГод,MONTH(ИюнВс1+16)=6),ИюнВс1+16,""))</f>
        <v>44361</v>
      </c>
      <c r="S35" s="11">
        <f>IF(DAY(ИюнВс1)=1,IF(AND(YEAR(ИюнВс1+10)=КалендарныйГод,MONTH(ИюнВс1+10)=6),ИюнВс1+10,""),IF(AND(YEAR(ИюнВс1+17)=КалендарныйГод,MONTH(ИюнВс1+17)=6),ИюнВс1+17,""))</f>
        <v>44362</v>
      </c>
      <c r="T35" s="11">
        <f>IF(DAY(ИюнВс1)=1,IF(AND(YEAR(ИюнВс1+11)=КалендарныйГод,MONTH(ИюнВс1+11)=6),ИюнВс1+11,""),IF(AND(YEAR(ИюнВс1+18)=КалендарныйГод,MONTH(ИюнВс1+18)=6),ИюнВс1+18,""))</f>
        <v>44363</v>
      </c>
      <c r="U35" s="11">
        <f>IF(DAY(ИюнВс1)=1,IF(AND(YEAR(ИюнВс1+12)=КалендарныйГод,MONTH(ИюнВс1+12)=6),ИюнВс1+12,""),IF(AND(YEAR(ИюнВс1+19)=КалендарныйГод,MONTH(ИюнВс1+19)=6),ИюнВс1+19,""))</f>
        <v>44364</v>
      </c>
      <c r="V35" s="11">
        <f>IF(DAY(ИюнВс1)=1,IF(AND(YEAR(ИюнВс1+13)=КалендарныйГод,MONTH(ИюнВс1+13)=6),ИюнВс1+13,""),IF(AND(YEAR(ИюнВс1+20)=КалендарныйГод,MONTH(ИюнВс1+20)=6),ИюнВс1+20,""))</f>
        <v>44365</v>
      </c>
      <c r="W35" s="11">
        <f>IF(DAY(ИюнВс1)=1,IF(AND(YEAR(ИюнВс1+14)=КалендарныйГод,MONTH(ИюнВс1+14)=6),ИюнВс1+14,""),IF(AND(YEAR(ИюнВс1+21)=КалендарныйГод,MONTH(ИюнВс1+21)=6),ИюнВс1+21,""))</f>
        <v>44366</v>
      </c>
      <c r="X35" s="11">
        <f>IF(DAY(ИюнВс1)=1,IF(AND(YEAR(ИюнВс1+15)=КалендарныйГод,MONTH(ИюнВс1+15)=6),ИюнВс1+15,""),IF(AND(YEAR(ИюнВс1+22)=КалендарныйГод,MONTH(ИюнВс1+22)=6),ИюнВс1+22,""))</f>
        <v>44367</v>
      </c>
      <c r="Y35" s="11">
        <f>IF(DAY(ИюнВс1)=1,IF(AND(YEAR(ИюнВс1+16)=КалендарныйГод,MONTH(ИюнВс1+16)=6),ИюнВс1+16,""),IF(AND(YEAR(ИюнВс1+23)=КалендарныйГод,MONTH(ИюнВс1+23)=6),ИюнВс1+23,""))</f>
        <v>44368</v>
      </c>
      <c r="Z35" s="11">
        <f>IF(DAY(ИюнВс1)=1,IF(AND(YEAR(ИюнВс1+17)=КалендарныйГод,MONTH(ИюнВс1+17)=6),ИюнВс1+17,""),IF(AND(YEAR(ИюнВс1+24)=КалендарныйГод,MONTH(ИюнВс1+24)=6),ИюнВс1+24,""))</f>
        <v>44369</v>
      </c>
      <c r="AA35" s="11">
        <f>IF(DAY(ИюнВс1)=1,IF(AND(YEAR(ИюнВс1+18)=КалендарныйГод,MONTH(ИюнВс1+18)=6),ИюнВс1+18,""),IF(AND(YEAR(ИюнВс1+25)=КалендарныйГод,MONTH(ИюнВс1+25)=6),ИюнВс1+25,""))</f>
        <v>44370</v>
      </c>
      <c r="AB35" s="11">
        <f>IF(DAY(ИюнВс1)=1,IF(AND(YEAR(ИюнВс1+19)=КалендарныйГод,MONTH(ИюнВс1+19)=6),ИюнВс1+19,""),IF(AND(YEAR(ИюнВс1+26)=КалендарныйГод,MONTH(ИюнВс1+26)=6),ИюнВс1+26,""))</f>
        <v>44371</v>
      </c>
      <c r="AC35" s="11">
        <f>IF(DAY(ИюнВс1)=1,IF(AND(YEAR(ИюнВс1+20)=КалендарныйГод,MONTH(ИюнВс1+20)=6),ИюнВс1+20,""),IF(AND(YEAR(ИюнВс1+27)=КалендарныйГод,MONTH(ИюнВс1+27)=6),ИюнВс1+27,""))</f>
        <v>44372</v>
      </c>
      <c r="AD35" s="11">
        <f>IF(DAY(ИюнВс1)=1,IF(AND(YEAR(ИюнВс1+21)=КалендарныйГод,MONTH(ИюнВс1+21)=6),ИюнВс1+21,""),IF(AND(YEAR(ИюнВс1+28)=КалендарныйГод,MONTH(ИюнВс1+28)=6),ИюнВс1+28,""))</f>
        <v>44373</v>
      </c>
      <c r="AE35" s="11">
        <f>IF(DAY(ИюнВс1)=1,IF(AND(YEAR(ИюнВс1+22)=КалендарныйГод,MONTH(ИюнВс1+22)=6),ИюнВс1+22,""),IF(AND(YEAR(ИюнВс1+29)=КалендарныйГод,MONTH(ИюнВс1+29)=6),ИюнВс1+29,""))</f>
        <v>44374</v>
      </c>
      <c r="AF35" s="11">
        <f>IF(DAY(ИюнВс1)=1,IF(AND(YEAR(ИюнВс1+23)=КалендарныйГод,MONTH(ИюнВс1+23)=6),ИюнВс1+23,""),IF(AND(YEAR(ИюнВс1+30)=КалендарныйГод,MONTH(ИюнВс1+30)=6),ИюнВс1+30,""))</f>
        <v>44375</v>
      </c>
      <c r="AG35" s="11">
        <f>IF(DAY(ИюнВс1)=1,IF(AND(YEAR(ИюнВс1+24)=КалендарныйГод,MONTH(ИюнВс1+24)=6),ИюнВс1+24,""),IF(AND(YEAR(ИюнВс1+31)=КалендарныйГод,MONTH(ИюнВс1+31)=6),ИюнВс1+31,""))</f>
        <v>44376</v>
      </c>
      <c r="AH35" s="11">
        <f>IF(DAY(ИюнВс1)=1,IF(AND(YEAR(ИюнВс1+25)=КалендарныйГод,MONTH(ИюнВс1+25)=6),ИюнВс1+25,""),IF(AND(YEAR(ИюнВс1+32)=КалендарныйГод,MONTH(ИюнВс1+32)=6),ИюнВс1+32,""))</f>
        <v>44377</v>
      </c>
      <c r="AI35" s="11" t="str">
        <f>IF(DAY(ИюнВс1)=1,IF(AND(YEAR(ИюнВс1+26)=КалендарныйГод,MONTH(ИюнВс1+26)=6),ИюнВс1+26,""),IF(AND(YEAR(ИюнВс1+33)=КалендарныйГод,MONTH(ИюнВс1+33)=6),ИюнВс1+33,""))</f>
        <v/>
      </c>
      <c r="AJ35" s="11" t="str">
        <f>IF(DAY(ИюнВс1)=1,IF(AND(YEAR(ИюнВс1+27)=КалендарныйГод,MONTH(ИюнВс1+27)=6),ИюнВс1+27,""),IF(AND(YEAR(ИюнВс1+34)=КалендарныйГод,MONTH(ИюнВс1+34)=6),ИюнВс1+34,""))</f>
        <v/>
      </c>
      <c r="AK35" s="11" t="str">
        <f>IF(DAY(ИюнВс1)=1,IF(AND(YEAR(ИюнВс1+28)=КалендарныйГод,MONTH(ИюнВс1+28)=6),ИюнВс1+28,""),IF(AND(YEAR(ИюнВс1+35)=КалендарныйГод,MONTH(ИюнВс1+35)=6),ИюнВс1+35,""))</f>
        <v/>
      </c>
      <c r="AL35" s="11" t="str">
        <f>IF(DAY(ИюнВс1)=1,IF(AND(YEAR(ИюнВс1+29)=КалендарныйГод,MONTH(ИюнВс1+29)=6),ИюнВс1+29,""),IF(AND(YEAR(ИюнВс1+36)=КалендарныйГод,MONTH(ИюнВс1+36)=6),ИюнВс1+36,""))</f>
        <v/>
      </c>
      <c r="AM35" s="12" t="str">
        <f>IF(DAY(ИюнВс1)=1,IF(AND(YEAR(ИюнВс1+30)=КалендарныйГод,MONTH(ИюнВс1+30)=6),ИюнВс1+30,""),IF(AND(YEAR(ИюнВс1+37)=КалендарныйГод,MONTH(ИюнВс1+37)=6),ИюнВс1+37,""))</f>
        <v/>
      </c>
    </row>
    <row r="36" spans="2:39" s="9" customFormat="1" ht="18.95" customHeight="1" x14ac:dyDescent="0.3">
      <c r="B36" s="24"/>
      <c r="C36" s="10" t="s">
        <v>0</v>
      </c>
      <c r="D36" s="10" t="s">
        <v>1</v>
      </c>
      <c r="E36" s="10" t="s">
        <v>2</v>
      </c>
      <c r="F36" s="10" t="s">
        <v>3</v>
      </c>
      <c r="G36" s="10" t="s">
        <v>4</v>
      </c>
      <c r="H36" s="10" t="s">
        <v>5</v>
      </c>
      <c r="I36" s="10" t="s">
        <v>6</v>
      </c>
      <c r="J36" s="10" t="s">
        <v>0</v>
      </c>
      <c r="K36" s="10" t="s">
        <v>1</v>
      </c>
      <c r="L36" s="10" t="s">
        <v>2</v>
      </c>
      <c r="M36" s="10" t="s">
        <v>3</v>
      </c>
      <c r="N36" s="10" t="s">
        <v>4</v>
      </c>
      <c r="O36" s="10" t="s">
        <v>5</v>
      </c>
      <c r="P36" s="10" t="s">
        <v>6</v>
      </c>
      <c r="Q36" s="10" t="s">
        <v>0</v>
      </c>
      <c r="R36" s="10" t="s">
        <v>1</v>
      </c>
      <c r="S36" s="10" t="s">
        <v>2</v>
      </c>
      <c r="T36" s="10" t="s">
        <v>3</v>
      </c>
      <c r="U36" s="10" t="s">
        <v>4</v>
      </c>
      <c r="V36" s="10" t="s">
        <v>5</v>
      </c>
      <c r="W36" s="10" t="s">
        <v>6</v>
      </c>
      <c r="X36" s="10" t="s">
        <v>0</v>
      </c>
      <c r="Y36" s="10" t="s">
        <v>1</v>
      </c>
      <c r="Z36" s="10" t="s">
        <v>2</v>
      </c>
      <c r="AA36" s="10" t="s">
        <v>3</v>
      </c>
      <c r="AB36" s="10" t="s">
        <v>4</v>
      </c>
      <c r="AC36" s="10" t="s">
        <v>5</v>
      </c>
      <c r="AD36" s="10" t="s">
        <v>6</v>
      </c>
      <c r="AE36" s="10" t="s">
        <v>0</v>
      </c>
      <c r="AF36" s="10" t="s">
        <v>1</v>
      </c>
      <c r="AG36" s="10" t="s">
        <v>2</v>
      </c>
      <c r="AH36" s="10" t="s">
        <v>3</v>
      </c>
      <c r="AI36" s="10" t="s">
        <v>4</v>
      </c>
      <c r="AJ36" s="10" t="s">
        <v>5</v>
      </c>
      <c r="AK36" s="10" t="s">
        <v>6</v>
      </c>
      <c r="AL36" s="10" t="s">
        <v>0</v>
      </c>
      <c r="AM36" s="13" t="s">
        <v>1</v>
      </c>
    </row>
    <row r="37" spans="2:39" ht="18.95" customHeight="1" x14ac:dyDescent="0.3">
      <c r="B37" s="7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2:39" ht="18.95" customHeight="1" x14ac:dyDescent="0.3"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2:39" ht="18.95" customHeight="1" x14ac:dyDescent="0.3">
      <c r="B39" s="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2:39" ht="12" customHeight="1" x14ac:dyDescent="0.3"/>
    <row r="41" spans="2:39" s="9" customFormat="1" ht="18.95" customHeight="1" x14ac:dyDescent="0.3">
      <c r="B41" s="23">
        <f>DATE(КалендарныйГод,7,1)</f>
        <v>44378</v>
      </c>
      <c r="C41" s="11" t="str">
        <f>IF(DAY(ИюлВс1)=1,"",IF(AND(YEAR(ИюлВс1+1)=КалендарныйГод,MONTH(ИюлВс1+1)=7),ИюлВс1+1,""))</f>
        <v/>
      </c>
      <c r="D41" s="11" t="str">
        <f>IF(DAY(ИюлВс1)=1,"",IF(AND(YEAR(ИюлВс1+2)=КалендарныйГод,MONTH(ИюлВс1+2)=7),ИюлВс1+2,""))</f>
        <v/>
      </c>
      <c r="E41" s="11" t="str">
        <f>IF(DAY(ИюлВс1)=1,"",IF(AND(YEAR(ИюлВс1+3)=КалендарныйГод,MONTH(ИюлВс1+3)=7),ИюлВс1+3,""))</f>
        <v/>
      </c>
      <c r="F41" s="11" t="str">
        <f>IF(DAY(ИюлВс1)=1,"",IF(AND(YEAR(ИюлВс1+4)=КалендарныйГод,MONTH(ИюлВс1+4)=7),ИюлВс1+4,""))</f>
        <v/>
      </c>
      <c r="G41" s="11">
        <f>IF(DAY(ИюлВс1)=1,"",IF(AND(YEAR(ИюлВс1+5)=КалендарныйГод,MONTH(ИюлВс1+5)=7),ИюлВс1+5,""))</f>
        <v>44378</v>
      </c>
      <c r="H41" s="11">
        <f>IF(DAY(ИюлВс1)=1,"",IF(AND(YEAR(ИюлВс1+6)=КалендарныйГод,MONTH(ИюлВс1+6)=7),ИюлВс1+6,""))</f>
        <v>44379</v>
      </c>
      <c r="I41" s="11">
        <f>IF(DAY(ИюлВс1)=1,IF(AND(YEAR(ИюлВс1)=КалендарныйГод,MONTH(ИюлВс1)=7),ИюлВс1,""),IF(AND(YEAR(ИюлВс1+7)=КалендарныйГод,MONTH(ИюлВс1+7)=7),ИюлВс1+7,""))</f>
        <v>44380</v>
      </c>
      <c r="J41" s="11">
        <f>IF(DAY(ИюлВс1)=1,IF(AND(YEAR(ИюлВс1+1)=КалендарныйГод,MONTH(ИюлВс1+1)=7),ИюлВс1+1,""),IF(AND(YEAR(ИюлВс1+8)=КалендарныйГод,MONTH(ИюлВс1+8)=7),ИюлВс1+8,""))</f>
        <v>44381</v>
      </c>
      <c r="K41" s="11">
        <f>IF(DAY(ИюлВс1)=1,IF(AND(YEAR(ИюлВс1+2)=КалендарныйГод,MONTH(ИюлВс1+2)=7),ИюлВс1+2,""),IF(AND(YEAR(ИюлВс1+9)=КалендарныйГод,MONTH(ИюлВс1+9)=7),ИюлВс1+9,""))</f>
        <v>44382</v>
      </c>
      <c r="L41" s="11">
        <f>IF(DAY(ИюлВс1)=1,IF(AND(YEAR(ИюлВс1+3)=КалендарныйГод,MONTH(ИюлВс1+3)=7),ИюлВс1+3,""),IF(AND(YEAR(ИюлВс1+10)=КалендарныйГод,MONTH(ИюлВс1+10)=7),ИюлВс1+10,""))</f>
        <v>44383</v>
      </c>
      <c r="M41" s="11">
        <f>IF(DAY(ИюлВс1)=1,IF(AND(YEAR(ИюлВс1+4)=КалендарныйГод,MONTH(ИюлВс1+4)=7),ИюлВс1+4,""),IF(AND(YEAR(ИюлВс1+11)=КалендарныйГод,MONTH(ИюлВс1+11)=7),ИюлВс1+11,""))</f>
        <v>44384</v>
      </c>
      <c r="N41" s="11">
        <f>IF(DAY(ИюлВс1)=1,IF(AND(YEAR(ИюлВс1+5)=КалендарныйГод,MONTH(ИюлВс1+5)=7),ИюлВс1+5,""),IF(AND(YEAR(ИюлВс1+12)=КалендарныйГод,MONTH(ИюлВс1+12)=7),ИюлВс1+12,""))</f>
        <v>44385</v>
      </c>
      <c r="O41" s="11">
        <f>IF(DAY(ИюлВс1)=1,IF(AND(YEAR(ИюлВс1+6)=КалендарныйГод,MONTH(ИюлВс1+6)=7),ИюлВс1+6,""),IF(AND(YEAR(ИюлВс1+13)=КалендарныйГод,MONTH(ИюлВс1+13)=7),ИюлВс1+13,""))</f>
        <v>44386</v>
      </c>
      <c r="P41" s="11">
        <f>IF(DAY(ИюлВс1)=1,IF(AND(YEAR(ИюлВс1+7)=КалендарныйГод,MONTH(ИюлВс1+7)=7),ИюлВс1+7,""),IF(AND(YEAR(ИюлВс1+14)=КалендарныйГод,MONTH(ИюлВс1+14)=7),ИюлВс1+14,""))</f>
        <v>44387</v>
      </c>
      <c r="Q41" s="11">
        <f>IF(DAY(ИюлВс1)=1,IF(AND(YEAR(ИюлВс1+8)=КалендарныйГод,MONTH(ИюлВс1+8)=7),ИюлВс1+8,""),IF(AND(YEAR(ИюлВс1+15)=КалендарныйГод,MONTH(ИюлВс1+15)=7),ИюлВс1+15,""))</f>
        <v>44388</v>
      </c>
      <c r="R41" s="11">
        <f>IF(DAY(ИюлВс1)=1,IF(AND(YEAR(ИюлВс1+9)=КалендарныйГод,MONTH(ИюлВс1+9)=7),ИюлВс1+9,""),IF(AND(YEAR(ИюлВс1+16)=КалендарныйГод,MONTH(ИюлВс1+16)=7),ИюлВс1+16,""))</f>
        <v>44389</v>
      </c>
      <c r="S41" s="11">
        <f>IF(DAY(ИюлВс1)=1,IF(AND(YEAR(ИюлВс1+10)=КалендарныйГод,MONTH(ИюлВс1+10)=7),ИюлВс1+10,""),IF(AND(YEAR(ИюлВс1+17)=КалендарныйГод,MONTH(ИюлВс1+17)=7),ИюлВс1+17,""))</f>
        <v>44390</v>
      </c>
      <c r="T41" s="11">
        <f>IF(DAY(ИюлВс1)=1,IF(AND(YEAR(ИюлВс1+11)=КалендарныйГод,MONTH(ИюлВс1+11)=7),ИюлВс1+11,""),IF(AND(YEAR(ИюлВс1+18)=КалендарныйГод,MONTH(ИюлВс1+18)=7),ИюлВс1+18,""))</f>
        <v>44391</v>
      </c>
      <c r="U41" s="11">
        <f>IF(DAY(ИюлВс1)=1,IF(AND(YEAR(ИюлВс1+12)=КалендарныйГод,MONTH(ИюлВс1+12)=7),ИюлВс1+12,""),IF(AND(YEAR(ИюлВс1+19)=КалендарныйГод,MONTH(ИюлВс1+19)=7),ИюлВс1+19,""))</f>
        <v>44392</v>
      </c>
      <c r="V41" s="11">
        <f>IF(DAY(ИюлВс1)=1,IF(AND(YEAR(ИюлВс1+13)=КалендарныйГод,MONTH(ИюлВс1+13)=7),ИюлВс1+13,""),IF(AND(YEAR(ИюлВс1+20)=КалендарныйГод,MONTH(ИюлВс1+20)=7),ИюлВс1+20,""))</f>
        <v>44393</v>
      </c>
      <c r="W41" s="11">
        <f>IF(DAY(ИюлВс1)=1,IF(AND(YEAR(ИюлВс1+14)=КалендарныйГод,MONTH(ИюлВс1+14)=7),ИюлВс1+14,""),IF(AND(YEAR(ИюлВс1+21)=КалендарныйГод,MONTH(ИюлВс1+21)=7),ИюлВс1+21,""))</f>
        <v>44394</v>
      </c>
      <c r="X41" s="11">
        <f>IF(DAY(ИюлВс1)=1,IF(AND(YEAR(ИюлВс1+15)=КалендарныйГод,MONTH(ИюлВс1+15)=7),ИюлВс1+15,""),IF(AND(YEAR(ИюлВс1+22)=КалендарныйГод,MONTH(ИюлВс1+22)=7),ИюлВс1+22,""))</f>
        <v>44395</v>
      </c>
      <c r="Y41" s="11">
        <f>IF(DAY(ИюлВс1)=1,IF(AND(YEAR(ИюлВс1+16)=КалендарныйГод,MONTH(ИюлВс1+16)=7),ИюлВс1+16,""),IF(AND(YEAR(ИюлВс1+23)=КалендарныйГод,MONTH(ИюлВс1+23)=7),ИюлВс1+23,""))</f>
        <v>44396</v>
      </c>
      <c r="Z41" s="11">
        <f>IF(DAY(ИюлВс1)=1,IF(AND(YEAR(ИюлВс1+17)=КалендарныйГод,MONTH(ИюлВс1+17)=7),ИюлВс1+17,""),IF(AND(YEAR(ИюлВс1+24)=КалендарныйГод,MONTH(ИюлВс1+24)=7),ИюлВс1+24,""))</f>
        <v>44397</v>
      </c>
      <c r="AA41" s="11">
        <f>IF(DAY(ИюлВс1)=1,IF(AND(YEAR(ИюлВс1+18)=КалендарныйГод,MONTH(ИюлВс1+18)=7),ИюлВс1+18,""),IF(AND(YEAR(ИюлВс1+25)=КалендарныйГод,MONTH(ИюлВс1+25)=7),ИюлВс1+25,""))</f>
        <v>44398</v>
      </c>
      <c r="AB41" s="11">
        <f>IF(DAY(ИюлВс1)=1,IF(AND(YEAR(ИюлВс1+19)=КалендарныйГод,MONTH(ИюлВс1+19)=7),ИюлВс1+19,""),IF(AND(YEAR(ИюлВс1+26)=КалендарныйГод,MONTH(ИюлВс1+26)=7),ИюлВс1+26,""))</f>
        <v>44399</v>
      </c>
      <c r="AC41" s="11">
        <f>IF(DAY(ИюлВс1)=1,IF(AND(YEAR(ИюлВс1+20)=КалендарныйГод,MONTH(ИюлВс1+20)=7),ИюлВс1+20,""),IF(AND(YEAR(ИюлВс1+27)=КалендарныйГод,MONTH(ИюлВс1+27)=7),ИюлВс1+27,""))</f>
        <v>44400</v>
      </c>
      <c r="AD41" s="11">
        <f>IF(DAY(ИюлВс1)=1,IF(AND(YEAR(ИюлВс1+21)=КалендарныйГод,MONTH(ИюлВс1+21)=7),ИюлВс1+21,""),IF(AND(YEAR(ИюлВс1+28)=КалендарныйГод,MONTH(ИюлВс1+28)=7),ИюлВс1+28,""))</f>
        <v>44401</v>
      </c>
      <c r="AE41" s="11">
        <f>IF(DAY(ИюлВс1)=1,IF(AND(YEAR(ИюлВс1+22)=КалендарныйГод,MONTH(ИюлВс1+22)=7),ИюлВс1+22,""),IF(AND(YEAR(ИюлВс1+29)=КалендарныйГод,MONTH(ИюлВс1+29)=7),ИюлВс1+29,""))</f>
        <v>44402</v>
      </c>
      <c r="AF41" s="11">
        <f>IF(DAY(ИюлВс1)=1,IF(AND(YEAR(ИюлВс1+23)=КалендарныйГод,MONTH(ИюлВс1+23)=7),ИюлВс1+23,""),IF(AND(YEAR(ИюлВс1+30)=КалендарныйГод,MONTH(ИюлВс1+30)=7),ИюлВс1+30,""))</f>
        <v>44403</v>
      </c>
      <c r="AG41" s="11">
        <f>IF(DAY(ИюлВс1)=1,IF(AND(YEAR(ИюлВс1+24)=КалендарныйГод,MONTH(ИюлВс1+24)=7),ИюлВс1+24,""),IF(AND(YEAR(ИюлВс1+31)=КалендарныйГод,MONTH(ИюлВс1+31)=7),ИюлВс1+31,""))</f>
        <v>44404</v>
      </c>
      <c r="AH41" s="11">
        <f>IF(DAY(ИюлВс1)=1,IF(AND(YEAR(ИюлВс1+25)=КалендарныйГод,MONTH(ИюлВс1+25)=7),ИюлВс1+25,""),IF(AND(YEAR(ИюлВс1+32)=КалендарныйГод,MONTH(ИюлВс1+32)=7),ИюлВс1+32,""))</f>
        <v>44405</v>
      </c>
      <c r="AI41" s="11">
        <f>IF(DAY(ИюлВс1)=1,IF(AND(YEAR(ИюлВс1+26)=КалендарныйГод,MONTH(ИюлВс1+26)=7),ИюлВс1+26,""),IF(AND(YEAR(ИюлВс1+33)=КалендарныйГод,MONTH(ИюлВс1+33)=7),ИюлВс1+33,""))</f>
        <v>44406</v>
      </c>
      <c r="AJ41" s="11">
        <f>IF(DAY(ИюлВс1)=1,IF(AND(YEAR(ИюлВс1+27)=КалендарныйГод,MONTH(ИюлВс1+27)=7),ИюлВс1+27,""),IF(AND(YEAR(ИюлВс1+34)=КалендарныйГод,MONTH(ИюлВс1+34)=7),ИюлВс1+34,""))</f>
        <v>44407</v>
      </c>
      <c r="AK41" s="11">
        <f>IF(DAY(ИюлВс1)=1,IF(AND(YEAR(ИюлВс1+28)=КалендарныйГод,MONTH(ИюлВс1+28)=7),ИюлВс1+28,""),IF(AND(YEAR(ИюлВс1+35)=КалендарныйГод,MONTH(ИюлВс1+35)=7),ИюлВс1+35,""))</f>
        <v>44408</v>
      </c>
      <c r="AL41" s="11" t="str">
        <f>IF(DAY(ИюлВс1)=1,IF(AND(YEAR(ИюлВс1+29)=КалендарныйГод,MONTH(ИюлВс1+29)=7),ИюлВс1+29,""),IF(AND(YEAR(ИюлВс1+36)=КалендарныйГод,MONTH(ИюлВс1+36)=7),ИюлВс1+36,""))</f>
        <v/>
      </c>
      <c r="AM41" s="12" t="str">
        <f>IF(DAY(ИюлВс1)=1,IF(AND(YEAR(ИюлВс1+30)=КалендарныйГод,MONTH(ИюлВс1+30)=7),ИюлВс1+30,""),IF(AND(YEAR(ИюлВс1+37)=КалендарныйГод,MONTH(ИюлВс1+37)=7),ИюлВс1+37,""))</f>
        <v/>
      </c>
    </row>
    <row r="42" spans="2:39" s="9" customFormat="1" ht="18.95" customHeight="1" x14ac:dyDescent="0.3">
      <c r="B42" s="24"/>
      <c r="C42" s="10" t="s">
        <v>0</v>
      </c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0</v>
      </c>
      <c r="K42" s="10" t="s">
        <v>1</v>
      </c>
      <c r="L42" s="10" t="s">
        <v>2</v>
      </c>
      <c r="M42" s="10" t="s">
        <v>3</v>
      </c>
      <c r="N42" s="10" t="s">
        <v>4</v>
      </c>
      <c r="O42" s="10" t="s">
        <v>5</v>
      </c>
      <c r="P42" s="10" t="s">
        <v>6</v>
      </c>
      <c r="Q42" s="10" t="s">
        <v>0</v>
      </c>
      <c r="R42" s="10" t="s">
        <v>1</v>
      </c>
      <c r="S42" s="10" t="s">
        <v>2</v>
      </c>
      <c r="T42" s="10" t="s">
        <v>3</v>
      </c>
      <c r="U42" s="10" t="s">
        <v>4</v>
      </c>
      <c r="V42" s="10" t="s">
        <v>5</v>
      </c>
      <c r="W42" s="10" t="s">
        <v>6</v>
      </c>
      <c r="X42" s="10" t="s">
        <v>0</v>
      </c>
      <c r="Y42" s="10" t="s">
        <v>1</v>
      </c>
      <c r="Z42" s="10" t="s">
        <v>2</v>
      </c>
      <c r="AA42" s="10" t="s">
        <v>3</v>
      </c>
      <c r="AB42" s="10" t="s">
        <v>4</v>
      </c>
      <c r="AC42" s="10" t="s">
        <v>5</v>
      </c>
      <c r="AD42" s="10" t="s">
        <v>6</v>
      </c>
      <c r="AE42" s="10" t="s">
        <v>0</v>
      </c>
      <c r="AF42" s="10" t="s">
        <v>1</v>
      </c>
      <c r="AG42" s="10" t="s">
        <v>2</v>
      </c>
      <c r="AH42" s="10" t="s">
        <v>3</v>
      </c>
      <c r="AI42" s="10" t="s">
        <v>4</v>
      </c>
      <c r="AJ42" s="10" t="s">
        <v>5</v>
      </c>
      <c r="AK42" s="10" t="s">
        <v>6</v>
      </c>
      <c r="AL42" s="10" t="s">
        <v>0</v>
      </c>
      <c r="AM42" s="13" t="s">
        <v>1</v>
      </c>
    </row>
    <row r="43" spans="2:39" ht="18.95" customHeight="1" x14ac:dyDescent="0.3">
      <c r="B43" s="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2:39" ht="18.95" customHeight="1" x14ac:dyDescent="0.3">
      <c r="B44" s="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  <row r="45" spans="2:39" ht="18.95" customHeight="1" x14ac:dyDescent="0.3">
      <c r="B45" s="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</row>
    <row r="46" spans="2:39" ht="12" customHeight="1" x14ac:dyDescent="0.3"/>
    <row r="47" spans="2:39" s="9" customFormat="1" ht="18.95" customHeight="1" x14ac:dyDescent="0.3">
      <c r="B47" s="23">
        <f>DATE(КалендарныйГод,8,1)</f>
        <v>44409</v>
      </c>
      <c r="C47" s="11">
        <f>IF(DAY(АвгВс1)=1,"",IF(AND(YEAR(АвгВс1+1)=КалендарныйГод,MONTH(АвгВс1+1)=8),АвгВс1+1,""))</f>
        <v>44409</v>
      </c>
      <c r="D47" s="11">
        <f>IF(DAY(АвгВс1)=1,"",IF(AND(YEAR(АвгВс1+2)=КалендарныйГод,MONTH(АвгВс1+2)=8),АвгВс1+2,""))</f>
        <v>44410</v>
      </c>
      <c r="E47" s="11">
        <f>IF(DAY(АвгВс1)=1,"",IF(AND(YEAR(АвгВс1+3)=КалендарныйГод,MONTH(АвгВс1+3)=8),АвгВс1+3,""))</f>
        <v>44411</v>
      </c>
      <c r="F47" s="11">
        <f>IF(DAY(АвгВс1)=1,"",IF(AND(YEAR(АвгВс1+4)=КалендарныйГод,MONTH(АвгВс1+4)=8),АвгВс1+4,""))</f>
        <v>44412</v>
      </c>
      <c r="G47" s="11">
        <f>IF(DAY(АвгВс1)=1,"",IF(AND(YEAR(АвгВс1+5)=КалендарныйГод,MONTH(АвгВс1+5)=8),АвгВс1+5,""))</f>
        <v>44413</v>
      </c>
      <c r="H47" s="11">
        <f>IF(DAY(АвгВс1)=1,"",IF(AND(YEAR(АвгВс1+6)=КалендарныйГод,MONTH(АвгВс1+6)=8),АвгВс1+6,""))</f>
        <v>44414</v>
      </c>
      <c r="I47" s="11">
        <f>IF(DAY(АвгВс1)=1,IF(AND(YEAR(АвгВс1)=КалендарныйГод,MONTH(АвгВс1)=8),АвгВс1,""),IF(AND(YEAR(АвгВс1+7)=КалендарныйГод,MONTH(АвгВс1+7)=8),АвгВс1+7,""))</f>
        <v>44415</v>
      </c>
      <c r="J47" s="11">
        <f>IF(DAY(АвгВс1)=1,IF(AND(YEAR(АвгВс1+1)=КалендарныйГод,MONTH(АвгВс1+1)=8),АвгВс1+1,""),IF(AND(YEAR(АвгВс1+8)=КалендарныйГод,MONTH(АвгВс1+8)=8),АвгВс1+8,""))</f>
        <v>44416</v>
      </c>
      <c r="K47" s="11">
        <f>IF(DAY(АвгВс1)=1,IF(AND(YEAR(АвгВс1+2)=КалендарныйГод,MONTH(АвгВс1+2)=8),АвгВс1+2,""),IF(AND(YEAR(АвгВс1+9)=КалендарныйГод,MONTH(АвгВс1+9)=8),АвгВс1+9,""))</f>
        <v>44417</v>
      </c>
      <c r="L47" s="11">
        <f>IF(DAY(АвгВс1)=1,IF(AND(YEAR(АвгВс1+3)=КалендарныйГод,MONTH(АвгВс1+3)=8),АвгВс1+3,""),IF(AND(YEAR(АвгВс1+10)=КалендарныйГод,MONTH(АвгВс1+10)=8),АвгВс1+10,""))</f>
        <v>44418</v>
      </c>
      <c r="M47" s="11">
        <f>IF(DAY(АвгВс1)=1,IF(AND(YEAR(АвгВс1+4)=КалендарныйГод,MONTH(АвгВс1+4)=8),АвгВс1+4,""),IF(AND(YEAR(АвгВс1+11)=КалендарныйГод,MONTH(АвгВс1+11)=8),АвгВс1+11,""))</f>
        <v>44419</v>
      </c>
      <c r="N47" s="11">
        <f>IF(DAY(АвгВс1)=1,IF(AND(YEAR(АвгВс1+5)=КалендарныйГод,MONTH(АвгВс1+5)=8),АвгВс1+5,""),IF(AND(YEAR(АвгВс1+12)=КалендарныйГод,MONTH(АвгВс1+12)=8),АвгВс1+12,""))</f>
        <v>44420</v>
      </c>
      <c r="O47" s="11">
        <f>IF(DAY(АвгВс1)=1,IF(AND(YEAR(АвгВс1+6)=КалендарныйГод,MONTH(АвгВс1+6)=8),АвгВс1+6,""),IF(AND(YEAR(АвгВс1+13)=КалендарныйГод,MONTH(АвгВс1+13)=8),АвгВс1+13,""))</f>
        <v>44421</v>
      </c>
      <c r="P47" s="11">
        <f>IF(DAY(АвгВс1)=1,IF(AND(YEAR(АвгВс1+7)=КалендарныйГод,MONTH(АвгВс1+7)=8),АвгВс1+7,""),IF(AND(YEAR(АвгВс1+14)=КалендарныйГод,MONTH(АвгВс1+14)=8),АвгВс1+14,""))</f>
        <v>44422</v>
      </c>
      <c r="Q47" s="11">
        <f>IF(DAY(АвгВс1)=1,IF(AND(YEAR(АвгВс1+8)=КалендарныйГод,MONTH(АвгВс1+8)=8),АвгВс1+8,""),IF(AND(YEAR(АвгВс1+15)=КалендарныйГод,MONTH(АвгВс1+15)=8),АвгВс1+15,""))</f>
        <v>44423</v>
      </c>
      <c r="R47" s="11">
        <f>IF(DAY(АвгВс1)=1,IF(AND(YEAR(АвгВс1+9)=КалендарныйГод,MONTH(АвгВс1+9)=8),АвгВс1+9,""),IF(AND(YEAR(АвгВс1+16)=КалендарныйГод,MONTH(АвгВс1+16)=8),АвгВс1+16,""))</f>
        <v>44424</v>
      </c>
      <c r="S47" s="11">
        <f>IF(DAY(АвгВс1)=1,IF(AND(YEAR(АвгВс1+10)=КалендарныйГод,MONTH(АвгВс1+10)=8),АвгВс1+10,""),IF(AND(YEAR(АвгВс1+17)=КалендарныйГод,MONTH(АвгВс1+17)=8),АвгВс1+17,""))</f>
        <v>44425</v>
      </c>
      <c r="T47" s="11">
        <f>IF(DAY(АвгВс1)=1,IF(AND(YEAR(АвгВс1+11)=КалендарныйГод,MONTH(АвгВс1+11)=8),АвгВс1+11,""),IF(AND(YEAR(АвгВс1+18)=КалендарныйГод,MONTH(АвгВс1+18)=8),АвгВс1+18,""))</f>
        <v>44426</v>
      </c>
      <c r="U47" s="11">
        <f>IF(DAY(АвгВс1)=1,IF(AND(YEAR(АвгВс1+12)=КалендарныйГод,MONTH(АвгВс1+12)=8),АвгВс1+12,""),IF(AND(YEAR(АвгВс1+19)=КалендарныйГод,MONTH(АвгВс1+19)=8),АвгВс1+19,""))</f>
        <v>44427</v>
      </c>
      <c r="V47" s="11">
        <f>IF(DAY(АвгВс1)=1,IF(AND(YEAR(АвгВс1+13)=КалендарныйГод,MONTH(АвгВс1+13)=8),АвгВс1+13,""),IF(AND(YEAR(АвгВс1+20)=КалендарныйГод,MONTH(АвгВс1+20)=8),АвгВс1+20,""))</f>
        <v>44428</v>
      </c>
      <c r="W47" s="11">
        <f>IF(DAY(АвгВс1)=1,IF(AND(YEAR(АвгВс1+14)=КалендарныйГод,MONTH(АвгВс1+14)=8),АвгВс1+14,""),IF(AND(YEAR(АвгВс1+21)=КалендарныйГод,MONTH(АвгВс1+21)=8),АвгВс1+21,""))</f>
        <v>44429</v>
      </c>
      <c r="X47" s="11">
        <f>IF(DAY(АвгВс1)=1,IF(AND(YEAR(АвгВс1+15)=КалендарныйГод,MONTH(АвгВс1+15)=8),АвгВс1+15,""),IF(AND(YEAR(АвгВс1+22)=КалендарныйГод,MONTH(АвгВс1+22)=8),АвгВс1+22,""))</f>
        <v>44430</v>
      </c>
      <c r="Y47" s="11">
        <f>IF(DAY(АвгВс1)=1,IF(AND(YEAR(АвгВс1+16)=КалендарныйГод,MONTH(АвгВс1+16)=8),АвгВс1+16,""),IF(AND(YEAR(АвгВс1+23)=КалендарныйГод,MONTH(АвгВс1+23)=8),АвгВс1+23,""))</f>
        <v>44431</v>
      </c>
      <c r="Z47" s="11">
        <f>IF(DAY(АвгВс1)=1,IF(AND(YEAR(АвгВс1+17)=КалендарныйГод,MONTH(АвгВс1+17)=8),АвгВс1+17,""),IF(AND(YEAR(АвгВс1+24)=КалендарныйГод,MONTH(АвгВс1+24)=8),АвгВс1+24,""))</f>
        <v>44432</v>
      </c>
      <c r="AA47" s="11">
        <f>IF(DAY(АвгВс1)=1,IF(AND(YEAR(АвгВс1+18)=КалендарныйГод,MONTH(АвгВс1+18)=8),АвгВс1+18,""),IF(AND(YEAR(АвгВс1+25)=КалендарныйГод,MONTH(АвгВс1+25)=8),АвгВс1+25,""))</f>
        <v>44433</v>
      </c>
      <c r="AB47" s="11">
        <f>IF(DAY(АвгВс1)=1,IF(AND(YEAR(АвгВс1+19)=КалендарныйГод,MONTH(АвгВс1+19)=8),АвгВс1+19,""),IF(AND(YEAR(АвгВс1+26)=КалендарныйГод,MONTH(АвгВс1+26)=8),АвгВс1+26,""))</f>
        <v>44434</v>
      </c>
      <c r="AC47" s="11">
        <f>IF(DAY(АвгВс1)=1,IF(AND(YEAR(АвгВс1+20)=КалендарныйГод,MONTH(АвгВс1+20)=8),АвгВс1+20,""),IF(AND(YEAR(АвгВс1+27)=КалендарныйГод,MONTH(АвгВс1+27)=8),АвгВс1+27,""))</f>
        <v>44435</v>
      </c>
      <c r="AD47" s="11">
        <f>IF(DAY(АвгВс1)=1,IF(AND(YEAR(АвгВс1+21)=КалендарныйГод,MONTH(АвгВс1+21)=8),АвгВс1+21,""),IF(AND(YEAR(АвгВс1+28)=КалендарныйГод,MONTH(АвгВс1+28)=8),АвгВс1+28,""))</f>
        <v>44436</v>
      </c>
      <c r="AE47" s="11">
        <f>IF(DAY(АвгВс1)=1,IF(AND(YEAR(АвгВс1+22)=КалендарныйГод,MONTH(АвгВс1+22)=8),АвгВс1+22,""),IF(AND(YEAR(АвгВс1+29)=КалендарныйГод,MONTH(АвгВс1+29)=8),АвгВс1+29,""))</f>
        <v>44437</v>
      </c>
      <c r="AF47" s="11">
        <f>IF(DAY(АвгВс1)=1,IF(AND(YEAR(АвгВс1+23)=КалендарныйГод,MONTH(АвгВс1+23)=8),АвгВс1+23,""),IF(AND(YEAR(АвгВс1+30)=КалендарныйГод,MONTH(АвгВс1+30)=8),АвгВс1+30,""))</f>
        <v>44438</v>
      </c>
      <c r="AG47" s="11">
        <f>IF(DAY(АвгВс1)=1,IF(AND(YEAR(АвгВс1+24)=КалендарныйГод,MONTH(АвгВс1+24)=8),АвгВс1+24,""),IF(AND(YEAR(АвгВс1+31)=КалендарныйГод,MONTH(АвгВс1+31)=8),АвгВс1+31,""))</f>
        <v>44439</v>
      </c>
      <c r="AH47" s="11" t="str">
        <f>IF(DAY(АвгВс1)=1,IF(AND(YEAR(АвгВс1+25)=КалендарныйГод,MONTH(АвгВс1+25)=8),АвгВс1+25,""),IF(AND(YEAR(АвгВс1+32)=КалендарныйГод,MONTH(АвгВс1+32)=8),АвгВс1+32,""))</f>
        <v/>
      </c>
      <c r="AI47" s="11" t="str">
        <f>IF(DAY(АвгВс1)=1,IF(AND(YEAR(АвгВс1+26)=КалендарныйГод,MONTH(АвгВс1+26)=8),АвгВс1+26,""),IF(AND(YEAR(АвгВс1+33)=КалендарныйГод,MONTH(АвгВс1+33)=8),АвгВс1+33,""))</f>
        <v/>
      </c>
      <c r="AJ47" s="11" t="str">
        <f>IF(DAY(АвгВс1)=1,IF(AND(YEAR(АвгВс1+27)=КалендарныйГод,MONTH(АвгВс1+27)=8),АвгВс1+27,""),IF(AND(YEAR(АвгВс1+34)=КалендарныйГод,MONTH(АвгВс1+34)=8),АвгВс1+34,""))</f>
        <v/>
      </c>
      <c r="AK47" s="11" t="str">
        <f>IF(DAY(АвгВс1)=1,IF(AND(YEAR(АвгВс1+28)=КалендарныйГод,MONTH(АвгВс1+28)=8),АвгВс1+28,""),IF(AND(YEAR(АвгВс1+35)=КалендарныйГод,MONTH(АвгВс1+35)=8),АвгВс1+35,""))</f>
        <v/>
      </c>
      <c r="AL47" s="11" t="str">
        <f>IF(DAY(АвгВс1)=1,IF(AND(YEAR(АвгВс1+29)=КалендарныйГод,MONTH(АвгВс1+29)=8),АвгВс1+29,""),IF(AND(YEAR(АвгВс1+36)=КалендарныйГод,MONTH(АвгВс1+36)=8),АвгВс1+36,""))</f>
        <v/>
      </c>
      <c r="AM47" s="12" t="str">
        <f>IF(DAY(АвгВс1)=1,IF(AND(YEAR(АвгВс1+30)=КалендарныйГод,MONTH(АвгВс1+30)=8),АвгВс1+30,""),IF(AND(YEAR(АвгВс1+37)=КалендарныйГод,MONTH(АвгВс1+37)=8),АвгВс1+37,""))</f>
        <v/>
      </c>
    </row>
    <row r="48" spans="2:39" s="9" customFormat="1" ht="18.95" customHeight="1" x14ac:dyDescent="0.3">
      <c r="B48" s="24"/>
      <c r="C48" s="10" t="s">
        <v>0</v>
      </c>
      <c r="D48" s="10" t="s">
        <v>1</v>
      </c>
      <c r="E48" s="10" t="s">
        <v>2</v>
      </c>
      <c r="F48" s="10" t="s">
        <v>3</v>
      </c>
      <c r="G48" s="10" t="s">
        <v>4</v>
      </c>
      <c r="H48" s="10" t="s">
        <v>5</v>
      </c>
      <c r="I48" s="10" t="s">
        <v>6</v>
      </c>
      <c r="J48" s="10" t="s">
        <v>0</v>
      </c>
      <c r="K48" s="10" t="s">
        <v>1</v>
      </c>
      <c r="L48" s="10" t="s">
        <v>2</v>
      </c>
      <c r="M48" s="10" t="s">
        <v>3</v>
      </c>
      <c r="N48" s="10" t="s">
        <v>4</v>
      </c>
      <c r="O48" s="10" t="s">
        <v>5</v>
      </c>
      <c r="P48" s="10" t="s">
        <v>6</v>
      </c>
      <c r="Q48" s="10" t="s">
        <v>0</v>
      </c>
      <c r="R48" s="10" t="s">
        <v>1</v>
      </c>
      <c r="S48" s="10" t="s">
        <v>2</v>
      </c>
      <c r="T48" s="10" t="s">
        <v>3</v>
      </c>
      <c r="U48" s="10" t="s">
        <v>4</v>
      </c>
      <c r="V48" s="10" t="s">
        <v>5</v>
      </c>
      <c r="W48" s="10" t="s">
        <v>6</v>
      </c>
      <c r="X48" s="10" t="s">
        <v>0</v>
      </c>
      <c r="Y48" s="10" t="s">
        <v>1</v>
      </c>
      <c r="Z48" s="10" t="s">
        <v>2</v>
      </c>
      <c r="AA48" s="10" t="s">
        <v>3</v>
      </c>
      <c r="AB48" s="10" t="s">
        <v>4</v>
      </c>
      <c r="AC48" s="10" t="s">
        <v>5</v>
      </c>
      <c r="AD48" s="10" t="s">
        <v>6</v>
      </c>
      <c r="AE48" s="10" t="s">
        <v>0</v>
      </c>
      <c r="AF48" s="10" t="s">
        <v>1</v>
      </c>
      <c r="AG48" s="10" t="s">
        <v>2</v>
      </c>
      <c r="AH48" s="10" t="s">
        <v>3</v>
      </c>
      <c r="AI48" s="10" t="s">
        <v>4</v>
      </c>
      <c r="AJ48" s="10" t="s">
        <v>5</v>
      </c>
      <c r="AK48" s="10" t="s">
        <v>6</v>
      </c>
      <c r="AL48" s="10" t="s">
        <v>0</v>
      </c>
      <c r="AM48" s="13" t="s">
        <v>1</v>
      </c>
    </row>
    <row r="49" spans="2:39" ht="18.95" customHeight="1" x14ac:dyDescent="0.3">
      <c r="B49" s="7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spans="2:39" ht="18.95" customHeight="1" x14ac:dyDescent="0.3">
      <c r="B50" s="8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</row>
    <row r="51" spans="2:39" ht="18.95" customHeight="1" x14ac:dyDescent="0.3">
      <c r="B51" s="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2:39" ht="12" customHeight="1" x14ac:dyDescent="0.3"/>
    <row r="53" spans="2:39" s="9" customFormat="1" ht="18.95" customHeight="1" x14ac:dyDescent="0.3">
      <c r="B53" s="23">
        <f>DATE(КалендарныйГод,9,1)</f>
        <v>44440</v>
      </c>
      <c r="C53" s="11" t="str">
        <f>IF(DAY(СенВс1)=1,"",IF(AND(YEAR(СенВс1+1)=КалендарныйГод,MONTH(СенВс1+1)=9),СенВс1+1,""))</f>
        <v/>
      </c>
      <c r="D53" s="11" t="str">
        <f>IF(DAY(СенВс1)=1,"",IF(AND(YEAR(СенВс1+2)=КалендарныйГод,MONTH(СенВс1+2)=9),СенВс1+2,""))</f>
        <v/>
      </c>
      <c r="E53" s="11" t="str">
        <f>IF(DAY(СенВс1)=1,"",IF(AND(YEAR(СенВс1+3)=КалендарныйГод,MONTH(СенВс1+3)=9),СенВс1+3,""))</f>
        <v/>
      </c>
      <c r="F53" s="11">
        <f>IF(DAY(СенВс1)=1,"",IF(AND(YEAR(СенВс1+4)=КалендарныйГод,MONTH(СенВс1+4)=9),СенВс1+4,""))</f>
        <v>44440</v>
      </c>
      <c r="G53" s="11">
        <f>IF(DAY(СенВс1)=1,"",IF(AND(YEAR(СенВс1+5)=КалендарныйГод,MONTH(СенВс1+5)=9),СенВс1+5,""))</f>
        <v>44441</v>
      </c>
      <c r="H53" s="11">
        <f>IF(DAY(СенВс1)=1,"",IF(AND(YEAR(СенВс1+6)=КалендарныйГод,MONTH(СенВс1+6)=9),СенВс1+6,""))</f>
        <v>44442</v>
      </c>
      <c r="I53" s="11">
        <f>IF(DAY(СенВс1)=1,IF(AND(YEAR(СенВс1)=КалендарныйГод,MONTH(СенВс1)=9),СенВс1,""),IF(AND(YEAR(СенВс1+7)=КалендарныйГод,MONTH(СенВс1+7)=9),СенВс1+7,""))</f>
        <v>44443</v>
      </c>
      <c r="J53" s="11">
        <f>IF(DAY(СенВс1)=1,IF(AND(YEAR(СенВс1+1)=КалендарныйГод,MONTH(СенВс1+1)=9),СенВс1+1,""),IF(AND(YEAR(СенВс1+8)=КалендарныйГод,MONTH(СенВс1+8)=9),СенВс1+8,""))</f>
        <v>44444</v>
      </c>
      <c r="K53" s="11">
        <f>IF(DAY(СенВс1)=1,IF(AND(YEAR(СенВс1+2)=КалендарныйГод,MONTH(СенВс1+2)=9),СенВс1+2,""),IF(AND(YEAR(СенВс1+9)=КалендарныйГод,MONTH(СенВс1+9)=9),СенВс1+9,""))</f>
        <v>44445</v>
      </c>
      <c r="L53" s="11">
        <f>IF(DAY(СенВс1)=1,IF(AND(YEAR(СенВс1+3)=КалендарныйГод,MONTH(СенВс1+3)=9),СенВс1+3,""),IF(AND(YEAR(СенВс1+10)=КалендарныйГод,MONTH(СенВс1+10)=9),СенВс1+10,""))</f>
        <v>44446</v>
      </c>
      <c r="M53" s="11">
        <f>IF(DAY(СенВс1)=1,IF(AND(YEAR(СенВс1+4)=КалендарныйГод,MONTH(СенВс1+4)=9),СенВс1+4,""),IF(AND(YEAR(СенВс1+11)=КалендарныйГод,MONTH(СенВс1+11)=9),СенВс1+11,""))</f>
        <v>44447</v>
      </c>
      <c r="N53" s="11">
        <f>IF(DAY(СенВс1)=1,IF(AND(YEAR(СенВс1+5)=КалендарныйГод,MONTH(СенВс1+5)=9),СенВс1+5,""),IF(AND(YEAR(СенВс1+12)=КалендарныйГод,MONTH(СенВс1+12)=9),СенВс1+12,""))</f>
        <v>44448</v>
      </c>
      <c r="O53" s="11">
        <f>IF(DAY(СенВс1)=1,IF(AND(YEAR(СенВс1+6)=КалендарныйГод,MONTH(СенВс1+6)=9),СенВс1+6,""),IF(AND(YEAR(СенВс1+13)=КалендарныйГод,MONTH(СенВс1+13)=9),СенВс1+13,""))</f>
        <v>44449</v>
      </c>
      <c r="P53" s="11">
        <f>IF(DAY(СенВс1)=1,IF(AND(YEAR(СенВс1+7)=КалендарныйГод,MONTH(СенВс1+7)=9),СенВс1+7,""),IF(AND(YEAR(СенВс1+14)=КалендарныйГод,MONTH(СенВс1+14)=9),СенВс1+14,""))</f>
        <v>44450</v>
      </c>
      <c r="Q53" s="11">
        <f>IF(DAY(СенВс1)=1,IF(AND(YEAR(СенВс1+8)=КалендарныйГод,MONTH(СенВс1+8)=9),СенВс1+8,""),IF(AND(YEAR(СенВс1+15)=КалендарныйГод,MONTH(СенВс1+15)=9),СенВс1+15,""))</f>
        <v>44451</v>
      </c>
      <c r="R53" s="11">
        <f>IF(DAY(СенВс1)=1,IF(AND(YEAR(СенВс1+9)=КалендарныйГод,MONTH(СенВс1+9)=9),СенВс1+9,""),IF(AND(YEAR(СенВс1+16)=КалендарныйГод,MONTH(СенВс1+16)=9),СенВс1+16,""))</f>
        <v>44452</v>
      </c>
      <c r="S53" s="11">
        <f>IF(DAY(СенВс1)=1,IF(AND(YEAR(СенВс1+10)=КалендарныйГод,MONTH(СенВс1+10)=9),СенВс1+10,""),IF(AND(YEAR(СенВс1+17)=КалендарныйГод,MONTH(СенВс1+17)=9),СенВс1+17,""))</f>
        <v>44453</v>
      </c>
      <c r="T53" s="11">
        <f>IF(DAY(СенВс1)=1,IF(AND(YEAR(СенВс1+11)=КалендарныйГод,MONTH(СенВс1+11)=9),СенВс1+11,""),IF(AND(YEAR(СенВс1+18)=КалендарныйГод,MONTH(СенВс1+18)=9),СенВс1+18,""))</f>
        <v>44454</v>
      </c>
      <c r="U53" s="11">
        <f>IF(DAY(СенВс1)=1,IF(AND(YEAR(СенВс1+12)=КалендарныйГод,MONTH(СенВс1+12)=9),СенВс1+12,""),IF(AND(YEAR(СенВс1+19)=КалендарныйГод,MONTH(СенВс1+19)=9),СенВс1+19,""))</f>
        <v>44455</v>
      </c>
      <c r="V53" s="11">
        <f>IF(DAY(СенВс1)=1,IF(AND(YEAR(СенВс1+13)=КалендарныйГод,MONTH(СенВс1+13)=9),СенВс1+13,""),IF(AND(YEAR(СенВс1+20)=КалендарныйГод,MONTH(СенВс1+20)=9),СенВс1+20,""))</f>
        <v>44456</v>
      </c>
      <c r="W53" s="11">
        <f>IF(DAY(СенВс1)=1,IF(AND(YEAR(СенВс1+14)=КалендарныйГод,MONTH(СенВс1+14)=9),СенВс1+14,""),IF(AND(YEAR(СенВс1+21)=КалендарныйГод,MONTH(СенВс1+21)=9),СенВс1+21,""))</f>
        <v>44457</v>
      </c>
      <c r="X53" s="11">
        <f>IF(DAY(СенВс1)=1,IF(AND(YEAR(СенВс1+15)=КалендарныйГод,MONTH(СенВс1+15)=9),СенВс1+15,""),IF(AND(YEAR(СенВс1+22)=КалендарныйГод,MONTH(СенВс1+22)=9),СенВс1+22,""))</f>
        <v>44458</v>
      </c>
      <c r="Y53" s="11">
        <f>IF(DAY(СенВс1)=1,IF(AND(YEAR(СенВс1+16)=КалендарныйГод,MONTH(СенВс1+16)=9),СенВс1+16,""),IF(AND(YEAR(СенВс1+23)=КалендарныйГод,MONTH(СенВс1+23)=9),СенВс1+23,""))</f>
        <v>44459</v>
      </c>
      <c r="Z53" s="11">
        <f>IF(DAY(СенВс1)=1,IF(AND(YEAR(СенВс1+17)=КалендарныйГод,MONTH(СенВс1+17)=9),СенВс1+17,""),IF(AND(YEAR(СенВс1+24)=КалендарныйГод,MONTH(СенВс1+24)=9),СенВс1+24,""))</f>
        <v>44460</v>
      </c>
      <c r="AA53" s="11">
        <f>IF(DAY(СенВс1)=1,IF(AND(YEAR(СенВс1+18)=КалендарныйГод,MONTH(СенВс1+18)=9),СенВс1+18,""),IF(AND(YEAR(СенВс1+25)=КалендарныйГод,MONTH(СенВс1+25)=9),СенВс1+25,""))</f>
        <v>44461</v>
      </c>
      <c r="AB53" s="11">
        <f>IF(DAY(СенВс1)=1,IF(AND(YEAR(СенВс1+19)=КалендарныйГод,MONTH(СенВс1+19)=9),СенВс1+19,""),IF(AND(YEAR(СенВс1+26)=КалендарныйГод,MONTH(СенВс1+26)=9),СенВс1+26,""))</f>
        <v>44462</v>
      </c>
      <c r="AC53" s="11">
        <f>IF(DAY(СенВс1)=1,IF(AND(YEAR(СенВс1+20)=КалендарныйГод,MONTH(СенВс1+20)=9),СенВс1+20,""),IF(AND(YEAR(СенВс1+27)=КалендарныйГод,MONTH(СенВс1+27)=9),СенВс1+27,""))</f>
        <v>44463</v>
      </c>
      <c r="AD53" s="11">
        <f>IF(DAY(СенВс1)=1,IF(AND(YEAR(СенВс1+21)=КалендарныйГод,MONTH(СенВс1+21)=9),СенВс1+21,""),IF(AND(YEAR(СенВс1+28)=КалендарныйГод,MONTH(СенВс1+28)=9),СенВс1+28,""))</f>
        <v>44464</v>
      </c>
      <c r="AE53" s="11">
        <f>IF(DAY(СенВс1)=1,IF(AND(YEAR(СенВс1+22)=КалендарныйГод,MONTH(СенВс1+22)=9),СенВс1+22,""),IF(AND(YEAR(СенВс1+29)=КалендарныйГод,MONTH(СенВс1+29)=9),СенВс1+29,""))</f>
        <v>44465</v>
      </c>
      <c r="AF53" s="11">
        <f>IF(DAY(СенВс1)=1,IF(AND(YEAR(СенВс1+23)=КалендарныйГод,MONTH(СенВс1+23)=9),СенВс1+23,""),IF(AND(YEAR(СенВс1+30)=КалендарныйГод,MONTH(СенВс1+30)=9),СенВс1+30,""))</f>
        <v>44466</v>
      </c>
      <c r="AG53" s="11">
        <f>IF(DAY(СенВс1)=1,IF(AND(YEAR(СенВс1+24)=КалендарныйГод,MONTH(СенВс1+24)=9),СенВс1+24,""),IF(AND(YEAR(СенВс1+31)=КалендарныйГод,MONTH(СенВс1+31)=9),СенВс1+31,""))</f>
        <v>44467</v>
      </c>
      <c r="AH53" s="11">
        <f>IF(DAY(СенВс1)=1,IF(AND(YEAR(СенВс1+25)=КалендарныйГод,MONTH(СенВс1+25)=9),СенВс1+25,""),IF(AND(YEAR(СенВс1+32)=КалендарныйГод,MONTH(СенВс1+32)=9),СенВс1+32,""))</f>
        <v>44468</v>
      </c>
      <c r="AI53" s="11">
        <f>IF(DAY(СенВс1)=1,IF(AND(YEAR(СенВс1+26)=КалендарныйГод,MONTH(СенВс1+26)=9),СенВс1+26,""),IF(AND(YEAR(СенВс1+33)=КалендарныйГод,MONTH(СенВс1+33)=9),СенВс1+33,""))</f>
        <v>44469</v>
      </c>
      <c r="AJ53" s="11" t="str">
        <f>IF(DAY(СенВс1)=1,IF(AND(YEAR(СенВс1+27)=КалендарныйГод,MONTH(СенВс1+27)=9),СенВс1+27,""),IF(AND(YEAR(СенВс1+34)=КалендарныйГод,MONTH(СенВс1+34)=9),СенВс1+34,""))</f>
        <v/>
      </c>
      <c r="AK53" s="11" t="str">
        <f>IF(DAY(СенВс1)=1,IF(AND(YEAR(СенВс1+28)=КалендарныйГод,MONTH(СенВс1+28)=9),СенВс1+28,""),IF(AND(YEAR(СенВс1+35)=КалендарныйГод,MONTH(СенВс1+35)=9),СенВс1+35,""))</f>
        <v/>
      </c>
      <c r="AL53" s="11" t="str">
        <f>IF(DAY(СенВс1)=1,IF(AND(YEAR(СенВс1+29)=КалендарныйГод,MONTH(СенВс1+29)=9),СенВс1+29,""),IF(AND(YEAR(СенВс1+36)=КалендарныйГод,MONTH(СенВс1+36)=9),СенВс1+36,""))</f>
        <v/>
      </c>
      <c r="AM53" s="12" t="str">
        <f>IF(DAY(СенВс1)=1,IF(AND(YEAR(СенВс1+30)=КалендарныйГод,MONTH(СенВс1+30)=9),СенВс1+30,""),IF(AND(YEAR(СенВс1+37)=КалендарныйГод,MONTH(СенВс1+37)=9),СенВс1+37,""))</f>
        <v/>
      </c>
    </row>
    <row r="54" spans="2:39" s="9" customFormat="1" ht="18.95" customHeight="1" x14ac:dyDescent="0.3">
      <c r="B54" s="24"/>
      <c r="C54" s="10" t="s">
        <v>0</v>
      </c>
      <c r="D54" s="10" t="s">
        <v>1</v>
      </c>
      <c r="E54" s="10" t="s">
        <v>2</v>
      </c>
      <c r="F54" s="10" t="s">
        <v>3</v>
      </c>
      <c r="G54" s="10" t="s">
        <v>4</v>
      </c>
      <c r="H54" s="10" t="s">
        <v>5</v>
      </c>
      <c r="I54" s="10" t="s">
        <v>6</v>
      </c>
      <c r="J54" s="10" t="s">
        <v>0</v>
      </c>
      <c r="K54" s="10" t="s">
        <v>1</v>
      </c>
      <c r="L54" s="10" t="s">
        <v>2</v>
      </c>
      <c r="M54" s="10" t="s">
        <v>3</v>
      </c>
      <c r="N54" s="10" t="s">
        <v>4</v>
      </c>
      <c r="O54" s="10" t="s">
        <v>5</v>
      </c>
      <c r="P54" s="10" t="s">
        <v>6</v>
      </c>
      <c r="Q54" s="10" t="s">
        <v>0</v>
      </c>
      <c r="R54" s="10" t="s">
        <v>1</v>
      </c>
      <c r="S54" s="10" t="s">
        <v>2</v>
      </c>
      <c r="T54" s="10" t="s">
        <v>3</v>
      </c>
      <c r="U54" s="10" t="s">
        <v>4</v>
      </c>
      <c r="V54" s="10" t="s">
        <v>5</v>
      </c>
      <c r="W54" s="10" t="s">
        <v>6</v>
      </c>
      <c r="X54" s="10" t="s">
        <v>0</v>
      </c>
      <c r="Y54" s="10" t="s">
        <v>1</v>
      </c>
      <c r="Z54" s="10" t="s">
        <v>2</v>
      </c>
      <c r="AA54" s="10" t="s">
        <v>3</v>
      </c>
      <c r="AB54" s="10" t="s">
        <v>4</v>
      </c>
      <c r="AC54" s="10" t="s">
        <v>5</v>
      </c>
      <c r="AD54" s="10" t="s">
        <v>6</v>
      </c>
      <c r="AE54" s="10" t="s">
        <v>0</v>
      </c>
      <c r="AF54" s="10" t="s">
        <v>1</v>
      </c>
      <c r="AG54" s="10" t="s">
        <v>2</v>
      </c>
      <c r="AH54" s="10" t="s">
        <v>3</v>
      </c>
      <c r="AI54" s="10" t="s">
        <v>4</v>
      </c>
      <c r="AJ54" s="10" t="s">
        <v>5</v>
      </c>
      <c r="AK54" s="10" t="s">
        <v>6</v>
      </c>
      <c r="AL54" s="10" t="s">
        <v>0</v>
      </c>
      <c r="AM54" s="13" t="s">
        <v>1</v>
      </c>
    </row>
    <row r="55" spans="2:39" ht="18.95" customHeight="1" x14ac:dyDescent="0.3">
      <c r="B55" s="7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2:39" ht="18.95" customHeight="1" x14ac:dyDescent="0.3">
      <c r="B56" s="8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</row>
    <row r="57" spans="2:39" ht="18.95" customHeight="1" x14ac:dyDescent="0.3">
      <c r="B57" s="8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</row>
    <row r="58" spans="2:39" ht="12" customHeight="1" x14ac:dyDescent="0.3"/>
    <row r="59" spans="2:39" s="9" customFormat="1" ht="18.95" customHeight="1" x14ac:dyDescent="0.3">
      <c r="B59" s="23">
        <f>DATE(КалендарныйГод,10,1)</f>
        <v>44470</v>
      </c>
      <c r="C59" s="11" t="str">
        <f>IF(DAY(ОктВс1)=1,"",IF(AND(YEAR(ОктВс1+1)=КалендарныйГод,MONTH(ОктВс1+1)=10),ОктВс1+1,""))</f>
        <v/>
      </c>
      <c r="D59" s="11" t="str">
        <f>IF(DAY(ОктВс1)=1,"",IF(AND(YEAR(ОктВс1+2)=КалендарныйГод,MONTH(ОктВс1+2)=10),ОктВс1+2,""))</f>
        <v/>
      </c>
      <c r="E59" s="11" t="str">
        <f>IF(DAY(ОктВс1)=1,"",IF(AND(YEAR(ОктВс1+3)=КалендарныйГод,MONTH(ОктВс1+3)=10),ОктВс1+3,""))</f>
        <v/>
      </c>
      <c r="F59" s="11" t="str">
        <f>IF(DAY(ОктВс1)=1,"",IF(AND(YEAR(ОктВс1+4)=КалендарныйГод,MONTH(ОктВс1+4)=10),ОктВс1+4,""))</f>
        <v/>
      </c>
      <c r="G59" s="11" t="str">
        <f>IF(DAY(ОктВс1)=1,"",IF(AND(YEAR(ОктВс1+5)=КалендарныйГод,MONTH(ОктВс1+5)=10),ОктВс1+5,""))</f>
        <v/>
      </c>
      <c r="H59" s="11">
        <f>IF(DAY(ОктВс1)=1,"",IF(AND(YEAR(ОктВс1+6)=КалендарныйГод,MONTH(ОктВс1+6)=10),ОктВс1+6,""))</f>
        <v>44470</v>
      </c>
      <c r="I59" s="11">
        <f>IF(DAY(ОктВс1)=1,IF(AND(YEAR(ОктВс1)=КалендарныйГод,MONTH(ОктВс1)=10),ОктВс1,""),IF(AND(YEAR(ОктВс1+7)=КалендарныйГод,MONTH(ОктВс1+7)=10),ОктВс1+7,""))</f>
        <v>44471</v>
      </c>
      <c r="J59" s="11">
        <f>IF(DAY(ОктВс1)=1,IF(AND(YEAR(ОктВс1+1)=КалендарныйГод,MONTH(ОктВс1+1)=10),ОктВс1+1,""),IF(AND(YEAR(ОктВс1+8)=КалендарныйГод,MONTH(ОктВс1+8)=10),ОктВс1+8,""))</f>
        <v>44472</v>
      </c>
      <c r="K59" s="11">
        <f>IF(DAY(ОктВс1)=1,IF(AND(YEAR(ОктВс1+2)=КалендарныйГод,MONTH(ОктВс1+2)=10),ОктВс1+2,""),IF(AND(YEAR(ОктВс1+9)=КалендарныйГод,MONTH(ОктВс1+9)=10),ОктВс1+9,""))</f>
        <v>44473</v>
      </c>
      <c r="L59" s="11">
        <f>IF(DAY(ОктВс1)=1,IF(AND(YEAR(ОктВс1+3)=КалендарныйГод,MONTH(ОктВс1+3)=10),ОктВс1+3,""),IF(AND(YEAR(ОктВс1+10)=КалендарныйГод,MONTH(ОктВс1+10)=10),ОктВс1+10,""))</f>
        <v>44474</v>
      </c>
      <c r="M59" s="11">
        <f>IF(DAY(ОктВс1)=1,IF(AND(YEAR(ОктВс1+4)=КалендарныйГод,MONTH(ОктВс1+4)=10),ОктВс1+4,""),IF(AND(YEAR(ОктВс1+11)=КалендарныйГод,MONTH(ОктВс1+11)=10),ОктВс1+11,""))</f>
        <v>44475</v>
      </c>
      <c r="N59" s="11">
        <f>IF(DAY(ОктВс1)=1,IF(AND(YEAR(ОктВс1+5)=КалендарныйГод,MONTH(ОктВс1+5)=10),ОктВс1+5,""),IF(AND(YEAR(ОктВс1+12)=КалендарныйГод,MONTH(ОктВс1+12)=10),ОктВс1+12,""))</f>
        <v>44476</v>
      </c>
      <c r="O59" s="11">
        <f>IF(DAY(ОктВс1)=1,IF(AND(YEAR(ОктВс1+6)=КалендарныйГод,MONTH(ОктВс1+6)=10),ОктВс1+6,""),IF(AND(YEAR(ОктВс1+13)=КалендарныйГод,MONTH(ОктВс1+13)=10),ОктВс1+13,""))</f>
        <v>44477</v>
      </c>
      <c r="P59" s="11">
        <f>IF(DAY(ОктВс1)=1,IF(AND(YEAR(ОктВс1+7)=КалендарныйГод,MONTH(ОктВс1+7)=10),ОктВс1+7,""),IF(AND(YEAR(ОктВс1+14)=КалендарныйГод,MONTH(ОктВс1+14)=10),ОктВс1+14,""))</f>
        <v>44478</v>
      </c>
      <c r="Q59" s="11">
        <f>IF(DAY(ОктВс1)=1,IF(AND(YEAR(ОктВс1+8)=КалендарныйГод,MONTH(ОктВс1+8)=10),ОктВс1+8,""),IF(AND(YEAR(ОктВс1+15)=КалендарныйГод,MONTH(ОктВс1+15)=10),ОктВс1+15,""))</f>
        <v>44479</v>
      </c>
      <c r="R59" s="11">
        <f>IF(DAY(ОктВс1)=1,IF(AND(YEAR(ОктВс1+9)=КалендарныйГод,MONTH(ОктВс1+9)=10),ОктВс1+9,""),IF(AND(YEAR(ОктВс1+16)=КалендарныйГод,MONTH(ОктВс1+16)=10),ОктВс1+16,""))</f>
        <v>44480</v>
      </c>
      <c r="S59" s="11">
        <f>IF(DAY(ОктВс1)=1,IF(AND(YEAR(ОктВс1+10)=КалендарныйГод,MONTH(ОктВс1+10)=10),ОктВс1+10,""),IF(AND(YEAR(ОктВс1+17)=КалендарныйГод,MONTH(ОктВс1+17)=10),ОктВс1+17,""))</f>
        <v>44481</v>
      </c>
      <c r="T59" s="11">
        <f>IF(DAY(ОктВс1)=1,IF(AND(YEAR(ОктВс1+11)=КалендарныйГод,MONTH(ОктВс1+11)=10),ОктВс1+11,""),IF(AND(YEAR(ОктВс1+18)=КалендарныйГод,MONTH(ОктВс1+18)=10),ОктВс1+18,""))</f>
        <v>44482</v>
      </c>
      <c r="U59" s="11">
        <f>IF(DAY(ОктВс1)=1,IF(AND(YEAR(ОктВс1+12)=КалендарныйГод,MONTH(ОктВс1+12)=10),ОктВс1+12,""),IF(AND(YEAR(ОктВс1+19)=КалендарныйГод,MONTH(ОктВс1+19)=10),ОктВс1+19,""))</f>
        <v>44483</v>
      </c>
      <c r="V59" s="11">
        <f>IF(DAY(ОктВс1)=1,IF(AND(YEAR(ОктВс1+13)=КалендарныйГод,MONTH(ОктВс1+13)=10),ОктВс1+13,""),IF(AND(YEAR(ОктВс1+20)=КалендарныйГод,MONTH(ОктВс1+20)=10),ОктВс1+20,""))</f>
        <v>44484</v>
      </c>
      <c r="W59" s="11">
        <f>IF(DAY(ОктВс1)=1,IF(AND(YEAR(ОктВс1+14)=КалендарныйГод,MONTH(ОктВс1+14)=10),ОктВс1+14,""),IF(AND(YEAR(ОктВс1+21)=КалендарныйГод,MONTH(ОктВс1+21)=10),ОктВс1+21,""))</f>
        <v>44485</v>
      </c>
      <c r="X59" s="11">
        <f>IF(DAY(ОктВс1)=1,IF(AND(YEAR(ОктВс1+15)=КалендарныйГод,MONTH(ОктВс1+15)=10),ОктВс1+15,""),IF(AND(YEAR(ОктВс1+22)=КалендарныйГод,MONTH(ОктВс1+22)=10),ОктВс1+22,""))</f>
        <v>44486</v>
      </c>
      <c r="Y59" s="11">
        <f>IF(DAY(ОктВс1)=1,IF(AND(YEAR(ОктВс1+16)=КалендарныйГод,MONTH(ОктВс1+16)=10),ОктВс1+16,""),IF(AND(YEAR(ОктВс1+23)=КалендарныйГод,MONTH(ОктВс1+23)=10),ОктВс1+23,""))</f>
        <v>44487</v>
      </c>
      <c r="Z59" s="11">
        <f>IF(DAY(ОктВс1)=1,IF(AND(YEAR(ОктВс1+17)=КалендарныйГод,MONTH(ОктВс1+17)=10),ОктВс1+17,""),IF(AND(YEAR(ОктВс1+24)=КалендарныйГод,MONTH(ОктВс1+24)=10),ОктВс1+24,""))</f>
        <v>44488</v>
      </c>
      <c r="AA59" s="11">
        <f>IF(DAY(ОктВс1)=1,IF(AND(YEAR(ОктВс1+18)=КалендарныйГод,MONTH(ОктВс1+18)=10),ОктВс1+18,""),IF(AND(YEAR(ОктВс1+25)=КалендарныйГод,MONTH(ОктВс1+25)=10),ОктВс1+25,""))</f>
        <v>44489</v>
      </c>
      <c r="AB59" s="11">
        <f>IF(DAY(ОктВс1)=1,IF(AND(YEAR(ОктВс1+19)=КалендарныйГод,MONTH(ОктВс1+19)=10),ОктВс1+19,""),IF(AND(YEAR(ОктВс1+26)=КалендарныйГод,MONTH(ОктВс1+26)=10),ОктВс1+26,""))</f>
        <v>44490</v>
      </c>
      <c r="AC59" s="11">
        <f>IF(DAY(ОктВс1)=1,IF(AND(YEAR(ОктВс1+20)=КалендарныйГод,MONTH(ОктВс1+20)=10),ОктВс1+20,""),IF(AND(YEAR(ОктВс1+27)=КалендарныйГод,MONTH(ОктВс1+27)=10),ОктВс1+27,""))</f>
        <v>44491</v>
      </c>
      <c r="AD59" s="11">
        <f>IF(DAY(ОктВс1)=1,IF(AND(YEAR(ОктВс1+21)=КалендарныйГод,MONTH(ОктВс1+21)=10),ОктВс1+21,""),IF(AND(YEAR(ОктВс1+28)=КалендарныйГод,MONTH(ОктВс1+28)=10),ОктВс1+28,""))</f>
        <v>44492</v>
      </c>
      <c r="AE59" s="11">
        <f>IF(DAY(ОктВс1)=1,IF(AND(YEAR(ОктВс1+22)=КалендарныйГод,MONTH(ОктВс1+22)=10),ОктВс1+22,""),IF(AND(YEAR(ОктВс1+29)=КалендарныйГод,MONTH(ОктВс1+29)=10),ОктВс1+29,""))</f>
        <v>44493</v>
      </c>
      <c r="AF59" s="11">
        <f>IF(DAY(ОктВс1)=1,IF(AND(YEAR(ОктВс1+23)=КалендарныйГод,MONTH(ОктВс1+23)=10),ОктВс1+23,""),IF(AND(YEAR(ОктВс1+30)=КалендарныйГод,MONTH(ОктВс1+30)=10),ОктВс1+30,""))</f>
        <v>44494</v>
      </c>
      <c r="AG59" s="11">
        <f>IF(DAY(ОктВс1)=1,IF(AND(YEAR(ОктВс1+24)=КалендарныйГод,MONTH(ОктВс1+24)=10),ОктВс1+24,""),IF(AND(YEAR(ОктВс1+31)=КалендарныйГод,MONTH(ОктВс1+31)=10),ОктВс1+31,""))</f>
        <v>44495</v>
      </c>
      <c r="AH59" s="11">
        <f>IF(DAY(ОктВс1)=1,IF(AND(YEAR(ОктВс1+25)=КалендарныйГод,MONTH(ОктВс1+25)=10),ОктВс1+25,""),IF(AND(YEAR(ОктВс1+32)=КалендарныйГод,MONTH(ОктВс1+32)=10),ОктВс1+32,""))</f>
        <v>44496</v>
      </c>
      <c r="AI59" s="11">
        <f>IF(DAY(ОктВс1)=1,IF(AND(YEAR(ОктВс1+26)=КалендарныйГод,MONTH(ОктВс1+26)=10),ОктВс1+26,""),IF(AND(YEAR(ОктВс1+33)=КалендарныйГод,MONTH(ОктВс1+33)=10),ОктВс1+33,""))</f>
        <v>44497</v>
      </c>
      <c r="AJ59" s="11">
        <f>IF(DAY(ОктВс1)=1,IF(AND(YEAR(ОктВс1+27)=КалендарныйГод,MONTH(ОктВс1+27)=10),ОктВс1+27,""),IF(AND(YEAR(ОктВс1+34)=КалендарныйГод,MONTH(ОктВс1+34)=10),ОктВс1+34,""))</f>
        <v>44498</v>
      </c>
      <c r="AK59" s="11">
        <f>IF(DAY(ОктВс1)=1,IF(AND(YEAR(ОктВс1+28)=КалендарныйГод,MONTH(ОктВс1+28)=10),ОктВс1+28,""),IF(AND(YEAR(ОктВс1+35)=КалендарныйГод,MONTH(ОктВс1+35)=10),ОктВс1+35,""))</f>
        <v>44499</v>
      </c>
      <c r="AL59" s="11">
        <f>IF(DAY(ОктВс1)=1,IF(AND(YEAR(ОктВс1+29)=КалендарныйГод,MONTH(ОктВс1+29)=10),ОктВс1+29,""),IF(AND(YEAR(ОктВс1+36)=КалендарныйГод,MONTH(ОктВс1+36)=10),ОктВс1+36,""))</f>
        <v>44500</v>
      </c>
      <c r="AM59" s="12" t="str">
        <f>IF(DAY(ОктВс1)=1,IF(AND(YEAR(ОктВс1+30)=КалендарныйГод,MONTH(ОктВс1+30)=10),ОктВс1+30,""),IF(AND(YEAR(ОктВс1+37)=КалендарныйГод,MONTH(ОктВс1+37)=10),ОктВс1+37,""))</f>
        <v/>
      </c>
    </row>
    <row r="60" spans="2:39" s="9" customFormat="1" ht="18.95" customHeight="1" x14ac:dyDescent="0.3">
      <c r="B60" s="24"/>
      <c r="C60" s="10" t="s">
        <v>0</v>
      </c>
      <c r="D60" s="10" t="s">
        <v>1</v>
      </c>
      <c r="E60" s="10" t="s">
        <v>2</v>
      </c>
      <c r="F60" s="10" t="s">
        <v>3</v>
      </c>
      <c r="G60" s="10" t="s">
        <v>4</v>
      </c>
      <c r="H60" s="10" t="s">
        <v>5</v>
      </c>
      <c r="I60" s="10" t="s">
        <v>6</v>
      </c>
      <c r="J60" s="10" t="s">
        <v>0</v>
      </c>
      <c r="K60" s="10" t="s">
        <v>1</v>
      </c>
      <c r="L60" s="10" t="s">
        <v>2</v>
      </c>
      <c r="M60" s="10" t="s">
        <v>3</v>
      </c>
      <c r="N60" s="10" t="s">
        <v>4</v>
      </c>
      <c r="O60" s="10" t="s">
        <v>5</v>
      </c>
      <c r="P60" s="10" t="s">
        <v>6</v>
      </c>
      <c r="Q60" s="10" t="s">
        <v>0</v>
      </c>
      <c r="R60" s="10" t="s">
        <v>1</v>
      </c>
      <c r="S60" s="10" t="s">
        <v>2</v>
      </c>
      <c r="T60" s="10" t="s">
        <v>3</v>
      </c>
      <c r="U60" s="10" t="s">
        <v>4</v>
      </c>
      <c r="V60" s="10" t="s">
        <v>5</v>
      </c>
      <c r="W60" s="10" t="s">
        <v>6</v>
      </c>
      <c r="X60" s="10" t="s">
        <v>0</v>
      </c>
      <c r="Y60" s="10" t="s">
        <v>1</v>
      </c>
      <c r="Z60" s="10" t="s">
        <v>2</v>
      </c>
      <c r="AA60" s="10" t="s">
        <v>3</v>
      </c>
      <c r="AB60" s="10" t="s">
        <v>4</v>
      </c>
      <c r="AC60" s="10" t="s">
        <v>5</v>
      </c>
      <c r="AD60" s="10" t="s">
        <v>6</v>
      </c>
      <c r="AE60" s="10" t="s">
        <v>0</v>
      </c>
      <c r="AF60" s="10" t="s">
        <v>1</v>
      </c>
      <c r="AG60" s="10" t="s">
        <v>2</v>
      </c>
      <c r="AH60" s="10" t="s">
        <v>3</v>
      </c>
      <c r="AI60" s="10" t="s">
        <v>4</v>
      </c>
      <c r="AJ60" s="10" t="s">
        <v>5</v>
      </c>
      <c r="AK60" s="10" t="s">
        <v>6</v>
      </c>
      <c r="AL60" s="10" t="s">
        <v>0</v>
      </c>
      <c r="AM60" s="13" t="s">
        <v>1</v>
      </c>
    </row>
    <row r="61" spans="2:39" ht="18.95" customHeight="1" x14ac:dyDescent="0.3">
      <c r="B61" s="7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2:39" ht="18.95" customHeight="1" x14ac:dyDescent="0.3">
      <c r="B62" s="8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2:39" ht="18.95" customHeight="1" x14ac:dyDescent="0.3">
      <c r="B63" s="8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</row>
    <row r="64" spans="2:39" ht="12" customHeight="1" x14ac:dyDescent="0.3"/>
    <row r="65" spans="2:39" s="9" customFormat="1" ht="18.95" customHeight="1" x14ac:dyDescent="0.3">
      <c r="B65" s="23">
        <f>DATE(КалендарныйГод,11,1)</f>
        <v>44501</v>
      </c>
      <c r="C65" s="11" t="str">
        <f>IF(DAY(НояВс1)=1,"",IF(AND(YEAR(НояВс1+1)=КалендарныйГод,MONTH(НояВс1+1)=11),НояВс1+1,""))</f>
        <v/>
      </c>
      <c r="D65" s="11">
        <f>IF(DAY(НояВс1)=1,"",IF(AND(YEAR(НояВс1+2)=КалендарныйГод,MONTH(НояВс1+2)=11),НояВс1+2,""))</f>
        <v>44501</v>
      </c>
      <c r="E65" s="11">
        <f>IF(DAY(НояВс1)=1,"",IF(AND(YEAR(НояВс1+3)=КалендарныйГод,MONTH(НояВс1+3)=11),НояВс1+3,""))</f>
        <v>44502</v>
      </c>
      <c r="F65" s="11">
        <f>IF(DAY(НояВс1)=1,"",IF(AND(YEAR(НояВс1+4)=КалендарныйГод,MONTH(НояВс1+4)=11),НояВс1+4,""))</f>
        <v>44503</v>
      </c>
      <c r="G65" s="11">
        <f>IF(DAY(НояВс1)=1,"",IF(AND(YEAR(НояВс1+5)=КалендарныйГод,MONTH(НояВс1+5)=11),НояВс1+5,""))</f>
        <v>44504</v>
      </c>
      <c r="H65" s="11">
        <f>IF(DAY(НояВс1)=1,"",IF(AND(YEAR(НояВс1+6)=КалендарныйГод,MONTH(НояВс1+6)=11),НояВс1+6,""))</f>
        <v>44505</v>
      </c>
      <c r="I65" s="11">
        <f>IF(DAY(НояВс1)=1,IF(AND(YEAR(НояВс1)=КалендарныйГод,MONTH(НояВс1)=11),НояВс1,""),IF(AND(YEAR(НояВс1+7)=КалендарныйГод,MONTH(НояВс1+7)=11),НояВс1+7,""))</f>
        <v>44506</v>
      </c>
      <c r="J65" s="11">
        <f>IF(DAY(НояВс1)=1,IF(AND(YEAR(НояВс1+1)=КалендарныйГод,MONTH(НояВс1+1)=11),НояВс1+1,""),IF(AND(YEAR(НояВс1+8)=КалендарныйГод,MONTH(НояВс1+8)=11),НояВс1+8,""))</f>
        <v>44507</v>
      </c>
      <c r="K65" s="11">
        <f>IF(DAY(НояВс1)=1,IF(AND(YEAR(НояВс1+2)=КалендарныйГод,MONTH(НояВс1+2)=11),НояВс1+2,""),IF(AND(YEAR(НояВс1+9)=КалендарныйГод,MONTH(НояВс1+9)=11),НояВс1+9,""))</f>
        <v>44508</v>
      </c>
      <c r="L65" s="11">
        <f>IF(DAY(НояВс1)=1,IF(AND(YEAR(НояВс1+3)=КалендарныйГод,MONTH(НояВс1+3)=11),НояВс1+3,""),IF(AND(YEAR(НояВс1+10)=КалендарныйГод,MONTH(НояВс1+10)=11),НояВс1+10,""))</f>
        <v>44509</v>
      </c>
      <c r="M65" s="11">
        <f>IF(DAY(НояВс1)=1,IF(AND(YEAR(НояВс1+4)=КалендарныйГод,MONTH(НояВс1+4)=11),НояВс1+4,""),IF(AND(YEAR(НояВс1+11)=КалендарныйГод,MONTH(НояВс1+11)=11),НояВс1+11,""))</f>
        <v>44510</v>
      </c>
      <c r="N65" s="11">
        <f>IF(DAY(НояВс1)=1,IF(AND(YEAR(НояВс1+5)=КалендарныйГод,MONTH(НояВс1+5)=11),НояВс1+5,""),IF(AND(YEAR(НояВс1+12)=КалендарныйГод,MONTH(НояВс1+12)=11),НояВс1+12,""))</f>
        <v>44511</v>
      </c>
      <c r="O65" s="11">
        <f>IF(DAY(НояВс1)=1,IF(AND(YEAR(НояВс1+6)=КалендарныйГод,MONTH(НояВс1+6)=11),НояВс1+6,""),IF(AND(YEAR(НояВс1+13)=КалендарныйГод,MONTH(НояВс1+13)=11),НояВс1+13,""))</f>
        <v>44512</v>
      </c>
      <c r="P65" s="11">
        <f>IF(DAY(НояВс1)=1,IF(AND(YEAR(НояВс1+7)=КалендарныйГод,MONTH(НояВс1+7)=11),НояВс1+7,""),IF(AND(YEAR(НояВс1+14)=КалендарныйГод,MONTH(НояВс1+14)=11),НояВс1+14,""))</f>
        <v>44513</v>
      </c>
      <c r="Q65" s="11">
        <f>IF(DAY(НояВс1)=1,IF(AND(YEAR(НояВс1+8)=КалендарныйГод,MONTH(НояВс1+8)=11),НояВс1+8,""),IF(AND(YEAR(НояВс1+15)=КалендарныйГод,MONTH(НояВс1+15)=11),НояВс1+15,""))</f>
        <v>44514</v>
      </c>
      <c r="R65" s="11">
        <f>IF(DAY(НояВс1)=1,IF(AND(YEAR(НояВс1+9)=КалендарныйГод,MONTH(НояВс1+9)=11),НояВс1+9,""),IF(AND(YEAR(НояВс1+16)=КалендарныйГод,MONTH(НояВс1+16)=11),НояВс1+16,""))</f>
        <v>44515</v>
      </c>
      <c r="S65" s="11">
        <f>IF(DAY(НояВс1)=1,IF(AND(YEAR(НояВс1+10)=КалендарныйГод,MONTH(НояВс1+10)=11),НояВс1+10,""),IF(AND(YEAR(НояВс1+17)=КалендарныйГод,MONTH(НояВс1+17)=11),НояВс1+17,""))</f>
        <v>44516</v>
      </c>
      <c r="T65" s="11">
        <f>IF(DAY(НояВс1)=1,IF(AND(YEAR(НояВс1+11)=КалендарныйГод,MONTH(НояВс1+11)=11),НояВс1+11,""),IF(AND(YEAR(НояВс1+18)=КалендарныйГод,MONTH(НояВс1+18)=11),НояВс1+18,""))</f>
        <v>44517</v>
      </c>
      <c r="U65" s="11">
        <f>IF(DAY(НояВс1)=1,IF(AND(YEAR(НояВс1+12)=КалендарныйГод,MONTH(НояВс1+12)=11),НояВс1+12,""),IF(AND(YEAR(НояВс1+19)=КалендарныйГод,MONTH(НояВс1+19)=11),НояВс1+19,""))</f>
        <v>44518</v>
      </c>
      <c r="V65" s="11">
        <f>IF(DAY(НояВс1)=1,IF(AND(YEAR(НояВс1+13)=КалендарныйГод,MONTH(НояВс1+13)=11),НояВс1+13,""),IF(AND(YEAR(НояВс1+20)=КалендарныйГод,MONTH(НояВс1+20)=11),НояВс1+20,""))</f>
        <v>44519</v>
      </c>
      <c r="W65" s="11">
        <f>IF(DAY(НояВс1)=1,IF(AND(YEAR(НояВс1+14)=КалендарныйГод,MONTH(НояВс1+14)=11),НояВс1+14,""),IF(AND(YEAR(НояВс1+21)=КалендарныйГод,MONTH(НояВс1+21)=11),НояВс1+21,""))</f>
        <v>44520</v>
      </c>
      <c r="X65" s="11">
        <f>IF(DAY(НояВс1)=1,IF(AND(YEAR(НояВс1+15)=КалендарныйГод,MONTH(НояВс1+15)=11),НояВс1+15,""),IF(AND(YEAR(НояВс1+22)=КалендарныйГод,MONTH(НояВс1+22)=11),НояВс1+22,""))</f>
        <v>44521</v>
      </c>
      <c r="Y65" s="11">
        <f>IF(DAY(НояВс1)=1,IF(AND(YEAR(НояВс1+16)=КалендарныйГод,MONTH(НояВс1+16)=11),НояВс1+16,""),IF(AND(YEAR(НояВс1+23)=КалендарныйГод,MONTH(НояВс1+23)=11),НояВс1+23,""))</f>
        <v>44522</v>
      </c>
      <c r="Z65" s="11">
        <f>IF(DAY(НояВс1)=1,IF(AND(YEAR(НояВс1+17)=КалендарныйГод,MONTH(НояВс1+17)=11),НояВс1+17,""),IF(AND(YEAR(НояВс1+24)=КалендарныйГод,MONTH(НояВс1+24)=11),НояВс1+24,""))</f>
        <v>44523</v>
      </c>
      <c r="AA65" s="11">
        <f>IF(DAY(НояВс1)=1,IF(AND(YEAR(НояВс1+18)=КалендарныйГод,MONTH(НояВс1+18)=11),НояВс1+18,""),IF(AND(YEAR(НояВс1+25)=КалендарныйГод,MONTH(НояВс1+25)=11),НояВс1+25,""))</f>
        <v>44524</v>
      </c>
      <c r="AB65" s="11">
        <f>IF(DAY(НояВс1)=1,IF(AND(YEAR(НояВс1+19)=КалендарныйГод,MONTH(НояВс1+19)=11),НояВс1+19,""),IF(AND(YEAR(НояВс1+26)=КалендарныйГод,MONTH(НояВс1+26)=11),НояВс1+26,""))</f>
        <v>44525</v>
      </c>
      <c r="AC65" s="11">
        <f>IF(DAY(НояВс1)=1,IF(AND(YEAR(НояВс1+20)=КалендарныйГод,MONTH(НояВс1+20)=11),НояВс1+20,""),IF(AND(YEAR(НояВс1+27)=КалендарныйГод,MONTH(НояВс1+27)=11),НояВс1+27,""))</f>
        <v>44526</v>
      </c>
      <c r="AD65" s="11">
        <f>IF(DAY(НояВс1)=1,IF(AND(YEAR(НояВс1+21)=КалендарныйГод,MONTH(НояВс1+21)=11),НояВс1+21,""),IF(AND(YEAR(НояВс1+28)=КалендарныйГод,MONTH(НояВс1+28)=11),НояВс1+28,""))</f>
        <v>44527</v>
      </c>
      <c r="AE65" s="11">
        <f>IF(DAY(НояВс1)=1,IF(AND(YEAR(НояВс1+22)=КалендарныйГод,MONTH(НояВс1+22)=11),НояВс1+22,""),IF(AND(YEAR(НояВс1+29)=КалендарныйГод,MONTH(НояВс1+29)=11),НояВс1+29,""))</f>
        <v>44528</v>
      </c>
      <c r="AF65" s="11">
        <f>IF(DAY(НояВс1)=1,IF(AND(YEAR(НояВс1+23)=КалендарныйГод,MONTH(НояВс1+23)=11),НояВс1+23,""),IF(AND(YEAR(НояВс1+30)=КалендарныйГод,MONTH(НояВс1+30)=11),НояВс1+30,""))</f>
        <v>44529</v>
      </c>
      <c r="AG65" s="11">
        <f>IF(DAY(НояВс1)=1,IF(AND(YEAR(НояВс1+24)=КалендарныйГод,MONTH(НояВс1+24)=11),НояВс1+24,""),IF(AND(YEAR(НояВс1+31)=КалендарныйГод,MONTH(НояВс1+31)=11),НояВс1+31,""))</f>
        <v>44530</v>
      </c>
      <c r="AH65" s="11" t="str">
        <f>IF(DAY(НояВс1)=1,IF(AND(YEAR(НояВс1+25)=КалендарныйГод,MONTH(НояВс1+25)=11),НояВс1+25,""),IF(AND(YEAR(НояВс1+32)=КалендарныйГод,MONTH(НояВс1+32)=11),НояВс1+32,""))</f>
        <v/>
      </c>
      <c r="AI65" s="11" t="str">
        <f>IF(DAY(НояВс1)=1,IF(AND(YEAR(НояВс1+26)=КалендарныйГод,MONTH(НояВс1+26)=11),НояВс1+26,""),IF(AND(YEAR(НояВс1+33)=КалендарныйГод,MONTH(НояВс1+33)=11),НояВс1+33,""))</f>
        <v/>
      </c>
      <c r="AJ65" s="11" t="str">
        <f>IF(DAY(НояВс1)=1,IF(AND(YEAR(НояВс1+27)=КалендарныйГод,MONTH(НояВс1+27)=11),НояВс1+27,""),IF(AND(YEAR(НояВс1+34)=КалендарныйГод,MONTH(НояВс1+34)=11),НояВс1+34,""))</f>
        <v/>
      </c>
      <c r="AK65" s="11" t="str">
        <f>IF(DAY(НояВс1)=1,IF(AND(YEAR(НояВс1+28)=КалендарныйГод,MONTH(НояВс1+28)=11),НояВс1+28,""),IF(AND(YEAR(НояВс1+35)=КалендарныйГод,MONTH(НояВс1+35)=11),НояВс1+35,""))</f>
        <v/>
      </c>
      <c r="AL65" s="11" t="str">
        <f>IF(DAY(НояВс1)=1,IF(AND(YEAR(НояВс1+29)=КалендарныйГод,MONTH(НояВс1+29)=11),НояВс1+29,""),IF(AND(YEAR(НояВс1+36)=КалендарныйГод,MONTH(НояВс1+36)=11),НояВс1+36,""))</f>
        <v/>
      </c>
      <c r="AM65" s="12" t="str">
        <f>IF(DAY(НояВс1)=1,IF(AND(YEAR(НояВс1+30)=КалендарныйГод,MONTH(НояВс1+30)=11),НояВс1+30,""),IF(AND(YEAR(НояВс1+37)=КалендарныйГод,MONTH(НояВс1+37)=11),НояВс1+37,""))</f>
        <v/>
      </c>
    </row>
    <row r="66" spans="2:39" s="9" customFormat="1" ht="18.95" customHeight="1" x14ac:dyDescent="0.3">
      <c r="B66" s="24"/>
      <c r="C66" s="10" t="s">
        <v>0</v>
      </c>
      <c r="D66" s="10" t="s">
        <v>1</v>
      </c>
      <c r="E66" s="10" t="s">
        <v>2</v>
      </c>
      <c r="F66" s="10" t="s">
        <v>3</v>
      </c>
      <c r="G66" s="10" t="s">
        <v>4</v>
      </c>
      <c r="H66" s="10" t="s">
        <v>5</v>
      </c>
      <c r="I66" s="10" t="s">
        <v>6</v>
      </c>
      <c r="J66" s="10" t="s">
        <v>0</v>
      </c>
      <c r="K66" s="10" t="s">
        <v>1</v>
      </c>
      <c r="L66" s="10" t="s">
        <v>2</v>
      </c>
      <c r="M66" s="10" t="s">
        <v>3</v>
      </c>
      <c r="N66" s="10" t="s">
        <v>4</v>
      </c>
      <c r="O66" s="10" t="s">
        <v>5</v>
      </c>
      <c r="P66" s="10" t="s">
        <v>6</v>
      </c>
      <c r="Q66" s="10" t="s">
        <v>0</v>
      </c>
      <c r="R66" s="10" t="s">
        <v>1</v>
      </c>
      <c r="S66" s="10" t="s">
        <v>2</v>
      </c>
      <c r="T66" s="10" t="s">
        <v>3</v>
      </c>
      <c r="U66" s="10" t="s">
        <v>4</v>
      </c>
      <c r="V66" s="10" t="s">
        <v>5</v>
      </c>
      <c r="W66" s="10" t="s">
        <v>6</v>
      </c>
      <c r="X66" s="10" t="s">
        <v>0</v>
      </c>
      <c r="Y66" s="10" t="s">
        <v>1</v>
      </c>
      <c r="Z66" s="10" t="s">
        <v>2</v>
      </c>
      <c r="AA66" s="10" t="s">
        <v>3</v>
      </c>
      <c r="AB66" s="10" t="s">
        <v>4</v>
      </c>
      <c r="AC66" s="10" t="s">
        <v>5</v>
      </c>
      <c r="AD66" s="10" t="s">
        <v>6</v>
      </c>
      <c r="AE66" s="10" t="s">
        <v>0</v>
      </c>
      <c r="AF66" s="10" t="s">
        <v>1</v>
      </c>
      <c r="AG66" s="10" t="s">
        <v>2</v>
      </c>
      <c r="AH66" s="10" t="s">
        <v>3</v>
      </c>
      <c r="AI66" s="10" t="s">
        <v>4</v>
      </c>
      <c r="AJ66" s="10" t="s">
        <v>5</v>
      </c>
      <c r="AK66" s="10" t="s">
        <v>6</v>
      </c>
      <c r="AL66" s="10" t="s">
        <v>0</v>
      </c>
      <c r="AM66" s="13" t="s">
        <v>1</v>
      </c>
    </row>
    <row r="67" spans="2:39" ht="18.95" customHeight="1" x14ac:dyDescent="0.3">
      <c r="B67" s="7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2:39" ht="18.95" customHeight="1" x14ac:dyDescent="0.3">
      <c r="B68" s="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</row>
    <row r="69" spans="2:39" ht="18.95" customHeight="1" x14ac:dyDescent="0.3">
      <c r="B69" s="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2:39" ht="12" customHeight="1" x14ac:dyDescent="0.3"/>
    <row r="71" spans="2:39" s="9" customFormat="1" ht="18.95" customHeight="1" x14ac:dyDescent="0.3">
      <c r="B71" s="23">
        <f>DATE(КалендарныйГод,12,1)</f>
        <v>44531</v>
      </c>
      <c r="C71" s="11" t="str">
        <f>IF(DAY(ДекВс1)=1,"",IF(AND(YEAR(ДекВс1+1)=КалендарныйГод,MONTH(ДекВс1+1)=12),ДекВс1+1,""))</f>
        <v/>
      </c>
      <c r="D71" s="11" t="str">
        <f>IF(DAY(ДекВс1)=1,"",IF(AND(YEAR(ДекВс1+2)=КалендарныйГод,MONTH(ДекВс1+2)=12),ДекВс1+2,""))</f>
        <v/>
      </c>
      <c r="E71" s="11" t="str">
        <f>IF(DAY(ДекВс1)=1,"",IF(AND(YEAR(ДекВс1+3)=КалендарныйГод,MONTH(ДекВс1+3)=12),ДекВс1+3,""))</f>
        <v/>
      </c>
      <c r="F71" s="11">
        <f>IF(DAY(ДекВс1)=1,"",IF(AND(YEAR(ДекВс1+4)=КалендарныйГод,MONTH(ДекВс1+4)=12),ДекВс1+4,""))</f>
        <v>44531</v>
      </c>
      <c r="G71" s="11">
        <f>IF(DAY(ДекВс1)=1,"",IF(AND(YEAR(ДекВс1+5)=КалендарныйГод,MONTH(ДекВс1+5)=12),ДекВс1+5,""))</f>
        <v>44532</v>
      </c>
      <c r="H71" s="11">
        <f>IF(DAY(ДекВс1)=1,"",IF(AND(YEAR(ДекВс1+6)=КалендарныйГод,MONTH(ДекВс1+6)=12),ДекВс1+6,""))</f>
        <v>44533</v>
      </c>
      <c r="I71" s="11">
        <f>IF(DAY(ДекВс1)=1,IF(AND(YEAR(ДекВс1)=КалендарныйГод,MONTH(ДекВс1)=12),ДекВс1,""),IF(AND(YEAR(ДекВс1+7)=КалендарныйГод,MONTH(ДекВс1+7)=12),ДекВс1+7,""))</f>
        <v>44534</v>
      </c>
      <c r="J71" s="11">
        <f>IF(DAY(ДекВс1)=1,IF(AND(YEAR(ДекВс1+1)=КалендарныйГод,MONTH(ДекВс1+1)=12),ДекВс1+1,""),IF(AND(YEAR(ДекВс1+8)=КалендарныйГод,MONTH(ДекВс1+8)=12),ДекВс1+8,""))</f>
        <v>44535</v>
      </c>
      <c r="K71" s="11">
        <f>IF(DAY(ДекВс1)=1,IF(AND(YEAR(ДекВс1+2)=КалендарныйГод,MONTH(ДекВс1+2)=12),ДекВс1+2,""),IF(AND(YEAR(ДекВс1+9)=КалендарныйГод,MONTH(ДекВс1+9)=12),ДекВс1+9,""))</f>
        <v>44536</v>
      </c>
      <c r="L71" s="11">
        <f>IF(DAY(ДекВс1)=1,IF(AND(YEAR(ДекВс1+3)=КалендарныйГод,MONTH(ДекВс1+3)=12),ДекВс1+3,""),IF(AND(YEAR(ДекВс1+10)=КалендарныйГод,MONTH(ДекВс1+10)=12),ДекВс1+10,""))</f>
        <v>44537</v>
      </c>
      <c r="M71" s="11">
        <f>IF(DAY(ДекВс1)=1,IF(AND(YEAR(ДекВс1+4)=КалендарныйГод,MONTH(ДекВс1+4)=12),ДекВс1+4,""),IF(AND(YEAR(ДекВс1+11)=КалендарныйГод,MONTH(ДекВс1+11)=12),ДекВс1+11,""))</f>
        <v>44538</v>
      </c>
      <c r="N71" s="11">
        <f>IF(DAY(ДекВс1)=1,IF(AND(YEAR(ДекВс1+5)=КалендарныйГод,MONTH(ДекВс1+5)=12),ДекВс1+5,""),IF(AND(YEAR(ДекВс1+12)=КалендарныйГод,MONTH(ДекВс1+12)=12),ДекВс1+12,""))</f>
        <v>44539</v>
      </c>
      <c r="O71" s="11">
        <f>IF(DAY(ДекВс1)=1,IF(AND(YEAR(ДекВс1+6)=КалендарныйГод,MONTH(ДекВс1+6)=12),ДекВс1+6,""),IF(AND(YEAR(ДекВс1+13)=КалендарныйГод,MONTH(ДекВс1+13)=12),ДекВс1+13,""))</f>
        <v>44540</v>
      </c>
      <c r="P71" s="11">
        <f>IF(DAY(ДекВс1)=1,IF(AND(YEAR(ДекВс1+7)=КалендарныйГод,MONTH(ДекВс1+7)=12),ДекВс1+7,""),IF(AND(YEAR(ДекВс1+14)=КалендарныйГод,MONTH(ДекВс1+14)=12),ДекВс1+14,""))</f>
        <v>44541</v>
      </c>
      <c r="Q71" s="11">
        <f>IF(DAY(ДекВс1)=1,IF(AND(YEAR(ДекВс1+8)=КалендарныйГод,MONTH(ДекВс1+8)=12),ДекВс1+8,""),IF(AND(YEAR(ДекВс1+15)=КалендарныйГод,MONTH(ДекВс1+15)=12),ДекВс1+15,""))</f>
        <v>44542</v>
      </c>
      <c r="R71" s="11">
        <f>IF(DAY(ДекВс1)=1,IF(AND(YEAR(ДекВс1+9)=КалендарныйГод,MONTH(ДекВс1+9)=12),ДекВс1+9,""),IF(AND(YEAR(ДекВс1+16)=КалендарныйГод,MONTH(ДекВс1+16)=12),ДекВс1+16,""))</f>
        <v>44543</v>
      </c>
      <c r="S71" s="11">
        <f>IF(DAY(ДекВс1)=1,IF(AND(YEAR(ДекВс1+10)=КалендарныйГод,MONTH(ДекВс1+10)=12),ДекВс1+10,""),IF(AND(YEAR(ДекВс1+17)=КалендарныйГод,MONTH(ДекВс1+17)=12),ДекВс1+17,""))</f>
        <v>44544</v>
      </c>
      <c r="T71" s="11">
        <f>IF(DAY(ДекВс1)=1,IF(AND(YEAR(ДекВс1+11)=КалендарныйГод,MONTH(ДекВс1+11)=12),ДекВс1+11,""),IF(AND(YEAR(ДекВс1+18)=КалендарныйГод,MONTH(ДекВс1+18)=12),ДекВс1+18,""))</f>
        <v>44545</v>
      </c>
      <c r="U71" s="11">
        <f>IF(DAY(ДекВс1)=1,IF(AND(YEAR(ДекВс1+12)=КалендарныйГод,MONTH(ДекВс1+12)=12),ДекВс1+12,""),IF(AND(YEAR(ДекВс1+19)=КалендарныйГод,MONTH(ДекВс1+19)=12),ДекВс1+19,""))</f>
        <v>44546</v>
      </c>
      <c r="V71" s="11">
        <f>IF(DAY(ДекВс1)=1,IF(AND(YEAR(ДекВс1+13)=КалендарныйГод,MONTH(ДекВс1+13)=12),ДекВс1+13,""),IF(AND(YEAR(ДекВс1+20)=КалендарныйГод,MONTH(ДекВс1+20)=12),ДекВс1+20,""))</f>
        <v>44547</v>
      </c>
      <c r="W71" s="11">
        <f>IF(DAY(ДекВс1)=1,IF(AND(YEAR(ДекВс1+14)=КалендарныйГод,MONTH(ДекВс1+14)=12),ДекВс1+14,""),IF(AND(YEAR(ДекВс1+21)=КалендарныйГод,MONTH(ДекВс1+21)=12),ДекВс1+21,""))</f>
        <v>44548</v>
      </c>
      <c r="X71" s="11">
        <f>IF(DAY(ДекВс1)=1,IF(AND(YEAR(ДекВс1+15)=КалендарныйГод,MONTH(ДекВс1+15)=12),ДекВс1+15,""),IF(AND(YEAR(ДекВс1+22)=КалендарныйГод,MONTH(ДекВс1+22)=12),ДекВс1+22,""))</f>
        <v>44549</v>
      </c>
      <c r="Y71" s="11">
        <f>IF(DAY(ДекВс1)=1,IF(AND(YEAR(ДекВс1+16)=КалендарныйГод,MONTH(ДекВс1+16)=12),ДекВс1+16,""),IF(AND(YEAR(ДекВс1+23)=КалендарныйГод,MONTH(ДекВс1+23)=12),ДекВс1+23,""))</f>
        <v>44550</v>
      </c>
      <c r="Z71" s="11">
        <f>IF(DAY(ДекВс1)=1,IF(AND(YEAR(ДекВс1+17)=КалендарныйГод,MONTH(ДекВс1+17)=12),ДекВс1+17,""),IF(AND(YEAR(ДекВс1+24)=КалендарныйГод,MONTH(ДекВс1+24)=12),ДекВс1+24,""))</f>
        <v>44551</v>
      </c>
      <c r="AA71" s="11">
        <f>IF(DAY(ДекВс1)=1,IF(AND(YEAR(ДекВс1+18)=КалендарныйГод,MONTH(ДекВс1+18)=12),ДекВс1+18,""),IF(AND(YEAR(ДекВс1+25)=КалендарныйГод,MONTH(ДекВс1+25)=12),ДекВс1+25,""))</f>
        <v>44552</v>
      </c>
      <c r="AB71" s="11">
        <f>IF(DAY(ДекВс1)=1,IF(AND(YEAR(ДекВс1+19)=КалендарныйГод,MONTH(ДекВс1+19)=12),ДекВс1+19,""),IF(AND(YEAR(ДекВс1+26)=КалендарныйГод,MONTH(ДекВс1+26)=12),ДекВс1+26,""))</f>
        <v>44553</v>
      </c>
      <c r="AC71" s="11">
        <f>IF(DAY(ДекВс1)=1,IF(AND(YEAR(ДекВс1+20)=КалендарныйГод,MONTH(ДекВс1+20)=12),ДекВс1+20,""),IF(AND(YEAR(ДекВс1+27)=КалендарныйГод,MONTH(ДекВс1+27)=12),ДекВс1+27,""))</f>
        <v>44554</v>
      </c>
      <c r="AD71" s="11">
        <f>IF(DAY(ДекВс1)=1,IF(AND(YEAR(ДекВс1+21)=КалендарныйГод,MONTH(ДекВс1+21)=12),ДекВс1+21,""),IF(AND(YEAR(ДекВс1+28)=КалендарныйГод,MONTH(ДекВс1+28)=12),ДекВс1+28,""))</f>
        <v>44555</v>
      </c>
      <c r="AE71" s="11">
        <f>IF(DAY(ДекВс1)=1,IF(AND(YEAR(ДекВс1+22)=КалендарныйГод,MONTH(ДекВс1+22)=12),ДекВс1+22,""),IF(AND(YEAR(ДекВс1+29)=КалендарныйГод,MONTH(ДекВс1+29)=12),ДекВс1+29,""))</f>
        <v>44556</v>
      </c>
      <c r="AF71" s="11">
        <f>IF(DAY(ДекВс1)=1,IF(AND(YEAR(ДекВс1+23)=КалендарныйГод,MONTH(ДекВс1+23)=12),ДекВс1+23,""),IF(AND(YEAR(ДекВс1+30)=КалендарныйГод,MONTH(ДекВс1+30)=12),ДекВс1+30,""))</f>
        <v>44557</v>
      </c>
      <c r="AG71" s="11">
        <f>IF(DAY(ДекВс1)=1,IF(AND(YEAR(ДекВс1+24)=КалендарныйГод,MONTH(ДекВс1+24)=12),ДекВс1+24,""),IF(AND(YEAR(ДекВс1+31)=КалендарныйГод,MONTH(ДекВс1+31)=12),ДекВс1+31,""))</f>
        <v>44558</v>
      </c>
      <c r="AH71" s="11">
        <f>IF(DAY(ДекВс1)=1,IF(AND(YEAR(ДекВс1+25)=КалендарныйГод,MONTH(ДекВс1+25)=12),ДекВс1+25,""),IF(AND(YEAR(ДекВс1+32)=КалендарныйГод,MONTH(ДекВс1+32)=12),ДекВс1+32,""))</f>
        <v>44559</v>
      </c>
      <c r="AI71" s="11">
        <f>IF(DAY(ДекВс1)=1,IF(AND(YEAR(ДекВс1+26)=КалендарныйГод,MONTH(ДекВс1+26)=12),ДекВс1+26,""),IF(AND(YEAR(ДекВс1+33)=КалендарныйГод,MONTH(ДекВс1+33)=12),ДекВс1+33,""))</f>
        <v>44560</v>
      </c>
      <c r="AJ71" s="11">
        <f>IF(DAY(ДекВс1)=1,IF(AND(YEAR(ДекВс1+27)=КалендарныйГод,MONTH(ДекВс1+27)=12),ДекВс1+27,""),IF(AND(YEAR(ДекВс1+34)=КалендарныйГод,MONTH(ДекВс1+34)=12),ДекВс1+34,""))</f>
        <v>44561</v>
      </c>
      <c r="AK71" s="11" t="str">
        <f>IF(DAY(ДекВс1)=1,IF(AND(YEAR(ДекВс1+28)=КалендарныйГод,MONTH(ДекВс1+28)=12),ДекВс1+28,""),IF(AND(YEAR(ДекВс1+35)=КалендарныйГод,MONTH(ДекВс1+35)=12),ДекВс1+35,""))</f>
        <v/>
      </c>
      <c r="AL71" s="11" t="str">
        <f>IF(DAY(ДекВс1)=1,IF(AND(YEAR(ДекВс1+29)=КалендарныйГод,MONTH(ДекВс1+29)=12),ДекВс1+29,""),IF(AND(YEAR(ДекВс1+36)=КалендарныйГод,MONTH(ДекВс1+36)=12),ДекВс1+36,""))</f>
        <v/>
      </c>
      <c r="AM71" s="12" t="str">
        <f>IF(DAY(ДекВс1)=1,IF(AND(YEAR(ДекВс1+30)=КалендарныйГод,MONTH(ДекВс1+30)=12),ДекВс1+30,""),IF(AND(YEAR(ДекВс1+37)=КалендарныйГод,MONTH(ДекВс1+37)=12),ДекВс1+37,""))</f>
        <v/>
      </c>
    </row>
    <row r="72" spans="2:39" s="9" customFormat="1" ht="18.95" customHeight="1" x14ac:dyDescent="0.3">
      <c r="B72" s="24"/>
      <c r="C72" s="10" t="s">
        <v>0</v>
      </c>
      <c r="D72" s="10" t="s">
        <v>1</v>
      </c>
      <c r="E72" s="10" t="s">
        <v>2</v>
      </c>
      <c r="F72" s="10" t="s">
        <v>3</v>
      </c>
      <c r="G72" s="10" t="s">
        <v>4</v>
      </c>
      <c r="H72" s="10" t="s">
        <v>5</v>
      </c>
      <c r="I72" s="10" t="s">
        <v>6</v>
      </c>
      <c r="J72" s="10" t="s">
        <v>0</v>
      </c>
      <c r="K72" s="10" t="s">
        <v>1</v>
      </c>
      <c r="L72" s="10" t="s">
        <v>2</v>
      </c>
      <c r="M72" s="10" t="s">
        <v>3</v>
      </c>
      <c r="N72" s="10" t="s">
        <v>4</v>
      </c>
      <c r="O72" s="10" t="s">
        <v>5</v>
      </c>
      <c r="P72" s="10" t="s">
        <v>6</v>
      </c>
      <c r="Q72" s="10" t="s">
        <v>0</v>
      </c>
      <c r="R72" s="10" t="s">
        <v>1</v>
      </c>
      <c r="S72" s="10" t="s">
        <v>2</v>
      </c>
      <c r="T72" s="10" t="s">
        <v>3</v>
      </c>
      <c r="U72" s="10" t="s">
        <v>4</v>
      </c>
      <c r="V72" s="10" t="s">
        <v>5</v>
      </c>
      <c r="W72" s="10" t="s">
        <v>6</v>
      </c>
      <c r="X72" s="10" t="s">
        <v>0</v>
      </c>
      <c r="Y72" s="10" t="s">
        <v>1</v>
      </c>
      <c r="Z72" s="10" t="s">
        <v>2</v>
      </c>
      <c r="AA72" s="10" t="s">
        <v>3</v>
      </c>
      <c r="AB72" s="10" t="s">
        <v>4</v>
      </c>
      <c r="AC72" s="10" t="s">
        <v>5</v>
      </c>
      <c r="AD72" s="10" t="s">
        <v>6</v>
      </c>
      <c r="AE72" s="10" t="s">
        <v>0</v>
      </c>
      <c r="AF72" s="10" t="s">
        <v>1</v>
      </c>
      <c r="AG72" s="10" t="s">
        <v>2</v>
      </c>
      <c r="AH72" s="10" t="s">
        <v>3</v>
      </c>
      <c r="AI72" s="10" t="s">
        <v>4</v>
      </c>
      <c r="AJ72" s="10" t="s">
        <v>5</v>
      </c>
      <c r="AK72" s="10" t="s">
        <v>6</v>
      </c>
      <c r="AL72" s="10" t="s">
        <v>0</v>
      </c>
      <c r="AM72" s="13" t="s">
        <v>1</v>
      </c>
    </row>
    <row r="73" spans="2:39" ht="18.95" customHeight="1" x14ac:dyDescent="0.3">
      <c r="B73" s="7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2:39" ht="18.95" customHeight="1" x14ac:dyDescent="0.3">
      <c r="B74" s="8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2:39" ht="18.95" customHeight="1" x14ac:dyDescent="0.3">
      <c r="B75" s="8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</row>
  </sheetData>
  <mergeCells count="13">
    <mergeCell ref="B5:B6"/>
    <mergeCell ref="B11:B12"/>
    <mergeCell ref="B17:B18"/>
    <mergeCell ref="B23:B24"/>
    <mergeCell ref="AH1:AM1"/>
    <mergeCell ref="B59:B60"/>
    <mergeCell ref="B65:B66"/>
    <mergeCell ref="B71:B72"/>
    <mergeCell ref="B29:B30"/>
    <mergeCell ref="B35:B36"/>
    <mergeCell ref="B41:B42"/>
    <mergeCell ref="B47:B48"/>
    <mergeCell ref="B53:B54"/>
  </mergeCells>
  <conditionalFormatting sqref="C5:AM5 C11:AM11 C17:AM17 C23:AM23 C29:AM29 C35:AM35 C41:AM41 C47:AM47 C53:AM53 C59:AM59 C65:AM65 C71:AM71">
    <cfRule type="expression" dxfId="5" priority="6">
      <formula>NOT(ISNUMBER(C5))</formula>
    </cfRule>
  </conditionalFormatting>
  <conditionalFormatting sqref="C6:AM6 C12:AM12 C18:AM18 C24:AM24 C30:AM30 C36:AM36 C42:AM42 C48:AM48 C54:AM54 C60:AM60 C66:AM66 C72:AM72">
    <cfRule type="expression" dxfId="4" priority="1" stopIfTrue="1">
      <formula>NOT(ISNUMBER(C5))</formula>
    </cfRule>
    <cfRule type="expression" dxfId="3" priority="5">
      <formula>OR(COUNTIF(C7:C9,1)&gt;1,COUNTIF(C7:C9,2)&gt;1,COUNTIF(C7:C9,3)&gt;1)</formula>
    </cfRule>
  </conditionalFormatting>
  <conditionalFormatting sqref="C7:AM9 C13:AM15 C19:AM21 C25:AM27 C31:AM33 C37:AM39 C43:AM45 C49:AM51 C55:AM57 C61:AM63 C67:AM69 C73:AM75">
    <cfRule type="cellIs" dxfId="2" priority="2" stopIfTrue="1" operator="equal">
      <formula>1</formula>
    </cfRule>
    <cfRule type="cellIs" dxfId="1" priority="3" stopIfTrue="1" operator="equal">
      <formula>2</formula>
    </cfRule>
    <cfRule type="cellIs" dxfId="0" priority="4" operator="equal">
      <formula>3</formula>
    </cfRule>
  </conditionalFormatting>
  <dataValidations count="2">
    <dataValidation allowBlank="1" showInputMessage="1" showErrorMessage="1" promptTitle="Календарь сменной работы" prompt="Используйте кнопки счетчика для изменения календарного года._x000a__x000a_Календарь автоматически выводит график ежедневных смен до 3-х работ. Настройте сведения о работе/смене и структуре на вкладке Работы и Смены._x000a__x000a_Дни красный цвет обозначает конфликты в графике." sqref="A1" xr:uid="{00000000-0002-0000-0000-000000000000}"/>
    <dataValidation allowBlank="1" showInputMessage="1" showErrorMessage="1" prompt="Быстро изменяйте календарный год с помощью кнопок счетчика" sqref="AH1" xr:uid="{00000000-0002-0000-0000-000001000000}"/>
  </dataValidations>
  <printOptions horizontalCentered="1" verticalCentered="1"/>
  <pageMargins left="0.3" right="0.3" top="0.3" bottom="0.3" header="0.3" footer="0.3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Счетчик">
              <controlPr defaultSize="0" print="0" autoPict="0" altText="Используйте кнопки счетчика, чтобы изменить календарный год, или введите год в ячейке AH1">
                <anchor moveWithCells="1">
                  <from>
                    <xdr:col>33</xdr:col>
                    <xdr:colOff>104775</xdr:colOff>
                    <xdr:row>0</xdr:row>
                    <xdr:rowOff>314325</xdr:rowOff>
                  </from>
                  <to>
                    <xdr:col>33</xdr:col>
                    <xdr:colOff>257175</xdr:colOff>
                    <xdr:row>0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E67587-31CB-4B73-8967-ABA78EA88C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78B39E-F25B-497F-AEEC-91B6A327B9DF}">
  <ds:schemaRefs>
    <ds:schemaRef ds:uri="http://purl.org/dc/elements/1.1/"/>
    <ds:schemaRef ds:uri="71af3243-3dd4-4a8d-8c0d-dd76da1f02a5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16c05727-aa75-4e4a-9b5f-8a80a116589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070F5E-656C-4433-A894-6CD925550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календарь</vt:lpstr>
      <vt:lpstr>КалендарныйГод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2019-02-18T23:05:43Z</dcterms:created>
  <dcterms:modified xsi:type="dcterms:W3CDTF">2020-09-25T20:11:52Z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TBCO_ScreenResolution">
    <vt:lpwstr>96 96 1920 1080</vt:lpwstr>
  </property>
</Properties>
</file>