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autoCompressPictures="0"/>
  <xr:revisionPtr revIDLastSave="0" documentId="13_ncr:1_{1AE57D4D-21DD-4E9A-8698-FE7C671FC43E}" xr6:coauthVersionLast="45" xr6:coauthVersionMax="45" xr10:uidLastSave="{00000000-0000-0000-0000-000000000000}"/>
  <bookViews>
    <workbookView xWindow="-120" yWindow="-120" windowWidth="29040" windowHeight="15840" xr2:uid="{00000000-000D-0000-FFFF-FFFF00000000}"/>
  </bookViews>
  <sheets>
    <sheet name="Календарь" sheetId="1" r:id="rId1"/>
  </sheets>
  <definedNames>
    <definedName name="АвгВс1">DATE(Год,8,1)-WEEKDAY(DATE(Год,8,1),2)+1</definedName>
    <definedName name="АпрВс1">DATE(Год,4,1)-WEEKDAY(DATE(Год,4,1),2)+1</definedName>
    <definedName name="Год">Календарь!$Z$2</definedName>
    <definedName name="ДекВс1">DATE(Год,12,1)-WEEKDAY(DATE(Год,12,1),2)+1</definedName>
    <definedName name="ИюлВс1">DATE(Год,7,1)-WEEKDAY(DATE(Год,7,1),2)+1</definedName>
    <definedName name="ИюнВс1">DATE(Год,6,1)-WEEKDAY(DATE(Год,6,1),2)+1</definedName>
    <definedName name="МайВс1">DATE(Год,5,1)-WEEKDAY(DATE(Год,5,1),2)+1</definedName>
    <definedName name="МарВс1">DATE(Год,3,1)-WEEKDAY(DATE(Год,3,1),2)+1</definedName>
    <definedName name="НояВс1">DATE(Год,11,1)-WEEKDAY(DATE(Год,11,1),2)+1</definedName>
    <definedName name="_xlnm.Print_Area" localSheetId="0">Календарь!$B$2:$AJ$34</definedName>
    <definedName name="ОктВс1">DATE(Год,10,1)-WEEKDAY(DATE(Год,10,1),2)+1</definedName>
    <definedName name="СенВс1">DATE(Год,9,1)-WEEKDAY(DATE(Год,9,1),2)+1</definedName>
    <definedName name="ФевВс1">DATE(Год,2,1)-WEEKDAY(DATE(Год,2,1),2)+1</definedName>
    <definedName name="ЯнвВс1">DATE(Год,1,1)-WEEKDAY(DATE(Год,1,1),2)+1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0" i="1" l="1"/>
  <c r="AG30" i="1"/>
  <c r="AF30" i="1"/>
  <c r="AE30" i="1"/>
  <c r="AD30" i="1"/>
  <c r="AC30" i="1"/>
  <c r="AB30" i="1"/>
  <c r="Z30" i="1"/>
  <c r="Y30" i="1"/>
  <c r="X30" i="1"/>
  <c r="W30" i="1"/>
  <c r="V30" i="1"/>
  <c r="U30" i="1"/>
  <c r="T30" i="1"/>
  <c r="R30" i="1"/>
  <c r="Q30" i="1"/>
  <c r="P30" i="1"/>
  <c r="O30" i="1"/>
  <c r="N30" i="1"/>
  <c r="M30" i="1"/>
  <c r="L30" i="1"/>
  <c r="J30" i="1"/>
  <c r="I30" i="1"/>
  <c r="H30" i="1"/>
  <c r="G30" i="1"/>
  <c r="F30" i="1"/>
  <c r="E30" i="1"/>
  <c r="D30" i="1"/>
  <c r="AH29" i="1"/>
  <c r="AG29" i="1"/>
  <c r="AF29" i="1"/>
  <c r="AE29" i="1"/>
  <c r="AD29" i="1"/>
  <c r="AC29" i="1"/>
  <c r="AB29" i="1"/>
  <c r="Z29" i="1"/>
  <c r="Y29" i="1"/>
  <c r="X29" i="1"/>
  <c r="W29" i="1"/>
  <c r="V29" i="1"/>
  <c r="U29" i="1"/>
  <c r="T29" i="1"/>
  <c r="R29" i="1"/>
  <c r="Q29" i="1"/>
  <c r="P29" i="1"/>
  <c r="O29" i="1"/>
  <c r="N29" i="1"/>
  <c r="M29" i="1"/>
  <c r="L29" i="1"/>
  <c r="J29" i="1"/>
  <c r="I29" i="1"/>
  <c r="H29" i="1"/>
  <c r="G29" i="1"/>
  <c r="F29" i="1"/>
  <c r="E29" i="1"/>
  <c r="D29" i="1"/>
  <c r="AH28" i="1"/>
  <c r="AG28" i="1"/>
  <c r="AF28" i="1"/>
  <c r="AE28" i="1"/>
  <c r="AD28" i="1"/>
  <c r="AC28" i="1"/>
  <c r="AB28" i="1"/>
  <c r="Z28" i="1"/>
  <c r="Y28" i="1"/>
  <c r="X28" i="1"/>
  <c r="W28" i="1"/>
  <c r="V28" i="1"/>
  <c r="U28" i="1"/>
  <c r="T28" i="1"/>
  <c r="R28" i="1"/>
  <c r="Q28" i="1"/>
  <c r="P28" i="1"/>
  <c r="O28" i="1"/>
  <c r="N28" i="1"/>
  <c r="M28" i="1"/>
  <c r="L28" i="1"/>
  <c r="J28" i="1"/>
  <c r="I28" i="1"/>
  <c r="H28" i="1"/>
  <c r="G28" i="1"/>
  <c r="F28" i="1"/>
  <c r="E28" i="1"/>
  <c r="D28" i="1"/>
  <c r="AH27" i="1"/>
  <c r="AG27" i="1"/>
  <c r="AF27" i="1"/>
  <c r="AE27" i="1"/>
  <c r="AD27" i="1"/>
  <c r="AC27" i="1"/>
  <c r="AB27" i="1"/>
  <c r="Z27" i="1"/>
  <c r="Y27" i="1"/>
  <c r="X27" i="1"/>
  <c r="W27" i="1"/>
  <c r="V27" i="1"/>
  <c r="U27" i="1"/>
  <c r="T27" i="1"/>
  <c r="R27" i="1"/>
  <c r="Q27" i="1"/>
  <c r="P27" i="1"/>
  <c r="O27" i="1"/>
  <c r="N27" i="1"/>
  <c r="M27" i="1"/>
  <c r="L27" i="1"/>
  <c r="J27" i="1"/>
  <c r="I27" i="1"/>
  <c r="H27" i="1"/>
  <c r="G27" i="1"/>
  <c r="F27" i="1"/>
  <c r="E27" i="1"/>
  <c r="D27" i="1"/>
  <c r="AH26" i="1"/>
  <c r="AG26" i="1"/>
  <c r="AF26" i="1"/>
  <c r="AE26" i="1"/>
  <c r="AD26" i="1"/>
  <c r="AC26" i="1"/>
  <c r="AB26" i="1"/>
  <c r="Z26" i="1"/>
  <c r="Y26" i="1"/>
  <c r="X26" i="1"/>
  <c r="W26" i="1"/>
  <c r="V26" i="1"/>
  <c r="U26" i="1"/>
  <c r="T26" i="1"/>
  <c r="R26" i="1"/>
  <c r="Q26" i="1"/>
  <c r="P26" i="1"/>
  <c r="O26" i="1"/>
  <c r="N26" i="1"/>
  <c r="M26" i="1"/>
  <c r="L26" i="1"/>
  <c r="J26" i="1"/>
  <c r="I26" i="1"/>
  <c r="H26" i="1"/>
  <c r="G26" i="1"/>
  <c r="F26" i="1"/>
  <c r="E26" i="1"/>
  <c r="D26" i="1"/>
  <c r="AH25" i="1"/>
  <c r="AG25" i="1"/>
  <c r="AF25" i="1"/>
  <c r="AE25" i="1"/>
  <c r="AD25" i="1"/>
  <c r="AC25" i="1"/>
  <c r="AB25" i="1"/>
  <c r="Z25" i="1"/>
  <c r="Y25" i="1"/>
  <c r="X25" i="1"/>
  <c r="W25" i="1"/>
  <c r="V25" i="1"/>
  <c r="U25" i="1"/>
  <c r="T25" i="1"/>
  <c r="R25" i="1"/>
  <c r="Q25" i="1"/>
  <c r="P25" i="1"/>
  <c r="O25" i="1"/>
  <c r="N25" i="1"/>
  <c r="M25" i="1"/>
  <c r="L25" i="1"/>
  <c r="J25" i="1"/>
  <c r="I25" i="1"/>
  <c r="H25" i="1"/>
  <c r="G25" i="1"/>
  <c r="F25" i="1"/>
  <c r="E25" i="1"/>
  <c r="D25" i="1"/>
  <c r="AH21" i="1"/>
  <c r="AG21" i="1"/>
  <c r="AF21" i="1"/>
  <c r="AE21" i="1"/>
  <c r="AD21" i="1"/>
  <c r="AC21" i="1"/>
  <c r="AB21" i="1"/>
  <c r="Z21" i="1"/>
  <c r="Y21" i="1"/>
  <c r="X21" i="1"/>
  <c r="W21" i="1"/>
  <c r="V21" i="1"/>
  <c r="U21" i="1"/>
  <c r="T21" i="1"/>
  <c r="R21" i="1"/>
  <c r="Q21" i="1"/>
  <c r="P21" i="1"/>
  <c r="O21" i="1"/>
  <c r="N21" i="1"/>
  <c r="M21" i="1"/>
  <c r="L21" i="1"/>
  <c r="J21" i="1"/>
  <c r="I21" i="1"/>
  <c r="H21" i="1"/>
  <c r="G21" i="1"/>
  <c r="F21" i="1"/>
  <c r="E21" i="1"/>
  <c r="D21" i="1"/>
  <c r="AH20" i="1"/>
  <c r="AG20" i="1"/>
  <c r="AF20" i="1"/>
  <c r="AE20" i="1"/>
  <c r="AD20" i="1"/>
  <c r="AC20" i="1"/>
  <c r="AB20" i="1"/>
  <c r="Z20" i="1"/>
  <c r="Y20" i="1"/>
  <c r="X20" i="1"/>
  <c r="W20" i="1"/>
  <c r="V20" i="1"/>
  <c r="U20" i="1"/>
  <c r="T20" i="1"/>
  <c r="R20" i="1"/>
  <c r="Q20" i="1"/>
  <c r="P20" i="1"/>
  <c r="O20" i="1"/>
  <c r="N20" i="1"/>
  <c r="M20" i="1"/>
  <c r="L20" i="1"/>
  <c r="J20" i="1"/>
  <c r="I20" i="1"/>
  <c r="H20" i="1"/>
  <c r="G20" i="1"/>
  <c r="F20" i="1"/>
  <c r="E20" i="1"/>
  <c r="D20" i="1"/>
  <c r="AH19" i="1"/>
  <c r="AG19" i="1"/>
  <c r="AF19" i="1"/>
  <c r="AE19" i="1"/>
  <c r="AD19" i="1"/>
  <c r="AC19" i="1"/>
  <c r="AB19" i="1"/>
  <c r="Z19" i="1"/>
  <c r="Y19" i="1"/>
  <c r="X19" i="1"/>
  <c r="W19" i="1"/>
  <c r="V19" i="1"/>
  <c r="U19" i="1"/>
  <c r="T19" i="1"/>
  <c r="R19" i="1"/>
  <c r="Q19" i="1"/>
  <c r="P19" i="1"/>
  <c r="O19" i="1"/>
  <c r="N19" i="1"/>
  <c r="M19" i="1"/>
  <c r="L19" i="1"/>
  <c r="J19" i="1"/>
  <c r="I19" i="1"/>
  <c r="H19" i="1"/>
  <c r="G19" i="1"/>
  <c r="F19" i="1"/>
  <c r="E19" i="1"/>
  <c r="D19" i="1"/>
  <c r="AH18" i="1"/>
  <c r="AG18" i="1"/>
  <c r="AF18" i="1"/>
  <c r="AE18" i="1"/>
  <c r="AD18" i="1"/>
  <c r="AC18" i="1"/>
  <c r="AB18" i="1"/>
  <c r="Z18" i="1"/>
  <c r="Y18" i="1"/>
  <c r="X18" i="1"/>
  <c r="W18" i="1"/>
  <c r="V18" i="1"/>
  <c r="U18" i="1"/>
  <c r="T18" i="1"/>
  <c r="R18" i="1"/>
  <c r="Q18" i="1"/>
  <c r="P18" i="1"/>
  <c r="O18" i="1"/>
  <c r="N18" i="1"/>
  <c r="M18" i="1"/>
  <c r="L18" i="1"/>
  <c r="J18" i="1"/>
  <c r="I18" i="1"/>
  <c r="H18" i="1"/>
  <c r="G18" i="1"/>
  <c r="F18" i="1"/>
  <c r="E18" i="1"/>
  <c r="D18" i="1"/>
  <c r="AH17" i="1"/>
  <c r="AG17" i="1"/>
  <c r="AF17" i="1"/>
  <c r="AE17" i="1"/>
  <c r="AD17" i="1"/>
  <c r="AC17" i="1"/>
  <c r="AB17" i="1"/>
  <c r="Z17" i="1"/>
  <c r="Y17" i="1"/>
  <c r="X17" i="1"/>
  <c r="W17" i="1"/>
  <c r="V17" i="1"/>
  <c r="U17" i="1"/>
  <c r="T17" i="1"/>
  <c r="R17" i="1"/>
  <c r="Q17" i="1"/>
  <c r="P17" i="1"/>
  <c r="O17" i="1"/>
  <c r="N17" i="1"/>
  <c r="M17" i="1"/>
  <c r="L17" i="1"/>
  <c r="J17" i="1"/>
  <c r="I17" i="1"/>
  <c r="H17" i="1"/>
  <c r="G17" i="1"/>
  <c r="F17" i="1"/>
  <c r="E17" i="1"/>
  <c r="D17" i="1"/>
  <c r="AH16" i="1"/>
  <c r="AG16" i="1"/>
  <c r="AF16" i="1"/>
  <c r="AE16" i="1"/>
  <c r="AD16" i="1"/>
  <c r="AC16" i="1"/>
  <c r="AB16" i="1"/>
  <c r="Z16" i="1"/>
  <c r="Y16" i="1"/>
  <c r="X16" i="1"/>
  <c r="W16" i="1"/>
  <c r="V16" i="1"/>
  <c r="U16" i="1"/>
  <c r="T16" i="1"/>
  <c r="R16" i="1"/>
  <c r="Q16" i="1"/>
  <c r="P16" i="1"/>
  <c r="O16" i="1"/>
  <c r="N16" i="1"/>
  <c r="M16" i="1"/>
  <c r="L16" i="1"/>
  <c r="J16" i="1"/>
  <c r="I16" i="1"/>
  <c r="H16" i="1"/>
  <c r="G16" i="1"/>
  <c r="F16" i="1"/>
  <c r="E16" i="1"/>
  <c r="D16" i="1"/>
  <c r="AH12" i="1"/>
  <c r="AG12" i="1"/>
  <c r="AF12" i="1"/>
  <c r="AE12" i="1"/>
  <c r="AD12" i="1"/>
  <c r="AC12" i="1"/>
  <c r="AB12" i="1"/>
  <c r="Z12" i="1"/>
  <c r="Y12" i="1"/>
  <c r="X12" i="1"/>
  <c r="W12" i="1"/>
  <c r="V12" i="1"/>
  <c r="U12" i="1"/>
  <c r="T12" i="1"/>
  <c r="R12" i="1"/>
  <c r="Q12" i="1"/>
  <c r="P12" i="1"/>
  <c r="O12" i="1"/>
  <c r="N12" i="1"/>
  <c r="M12" i="1"/>
  <c r="L12" i="1"/>
  <c r="J12" i="1"/>
  <c r="I12" i="1"/>
  <c r="H12" i="1"/>
  <c r="G12" i="1"/>
  <c r="F12" i="1"/>
  <c r="E12" i="1"/>
  <c r="D12" i="1"/>
  <c r="AH11" i="1"/>
  <c r="AG11" i="1"/>
  <c r="AF11" i="1"/>
  <c r="AE11" i="1"/>
  <c r="AD11" i="1"/>
  <c r="AC11" i="1"/>
  <c r="AB11" i="1"/>
  <c r="Z11" i="1"/>
  <c r="Y11" i="1"/>
  <c r="X11" i="1"/>
  <c r="W11" i="1"/>
  <c r="V11" i="1"/>
  <c r="U11" i="1"/>
  <c r="T11" i="1"/>
  <c r="R11" i="1"/>
  <c r="Q11" i="1"/>
  <c r="P11" i="1"/>
  <c r="O11" i="1"/>
  <c r="N11" i="1"/>
  <c r="M11" i="1"/>
  <c r="L11" i="1"/>
  <c r="J11" i="1"/>
  <c r="I11" i="1"/>
  <c r="H11" i="1"/>
  <c r="G11" i="1"/>
  <c r="F11" i="1"/>
  <c r="E11" i="1"/>
  <c r="D11" i="1"/>
  <c r="AH10" i="1"/>
  <c r="AG10" i="1"/>
  <c r="AF10" i="1"/>
  <c r="AE10" i="1"/>
  <c r="AD10" i="1"/>
  <c r="AC10" i="1"/>
  <c r="AB10" i="1"/>
  <c r="Z10" i="1"/>
  <c r="Y10" i="1"/>
  <c r="X10" i="1"/>
  <c r="W10" i="1"/>
  <c r="V10" i="1"/>
  <c r="U10" i="1"/>
  <c r="T10" i="1"/>
  <c r="R10" i="1"/>
  <c r="Q10" i="1"/>
  <c r="P10" i="1"/>
  <c r="O10" i="1"/>
  <c r="N10" i="1"/>
  <c r="M10" i="1"/>
  <c r="L10" i="1"/>
  <c r="J10" i="1"/>
  <c r="I10" i="1"/>
  <c r="H10" i="1"/>
  <c r="G10" i="1"/>
  <c r="F10" i="1"/>
  <c r="E10" i="1"/>
  <c r="D10" i="1"/>
  <c r="AH9" i="1"/>
  <c r="AG9" i="1"/>
  <c r="AF9" i="1"/>
  <c r="AE9" i="1"/>
  <c r="AD9" i="1"/>
  <c r="AC9" i="1"/>
  <c r="AB9" i="1"/>
  <c r="Z9" i="1"/>
  <c r="Y9" i="1"/>
  <c r="X9" i="1"/>
  <c r="W9" i="1"/>
  <c r="V9" i="1"/>
  <c r="U9" i="1"/>
  <c r="T9" i="1"/>
  <c r="R9" i="1"/>
  <c r="Q9" i="1"/>
  <c r="P9" i="1"/>
  <c r="O9" i="1"/>
  <c r="N9" i="1"/>
  <c r="M9" i="1"/>
  <c r="L9" i="1"/>
  <c r="J9" i="1"/>
  <c r="I9" i="1"/>
  <c r="H9" i="1"/>
  <c r="G9" i="1"/>
  <c r="F9" i="1"/>
  <c r="E9" i="1"/>
  <c r="D9" i="1"/>
  <c r="AH8" i="1"/>
  <c r="AG8" i="1"/>
  <c r="AF8" i="1"/>
  <c r="AE8" i="1"/>
  <c r="AD8" i="1"/>
  <c r="AC8" i="1"/>
  <c r="AB8" i="1"/>
  <c r="Z8" i="1"/>
  <c r="Y8" i="1"/>
  <c r="X8" i="1"/>
  <c r="W8" i="1"/>
  <c r="V8" i="1"/>
  <c r="U8" i="1"/>
  <c r="T8" i="1"/>
  <c r="R8" i="1"/>
  <c r="Q8" i="1"/>
  <c r="P8" i="1"/>
  <c r="O8" i="1"/>
  <c r="N8" i="1"/>
  <c r="M8" i="1"/>
  <c r="L8" i="1"/>
  <c r="J8" i="1"/>
  <c r="I8" i="1"/>
  <c r="H8" i="1"/>
  <c r="G8" i="1"/>
  <c r="F8" i="1"/>
  <c r="E8" i="1"/>
  <c r="D8" i="1"/>
  <c r="AH7" i="1"/>
  <c r="AG7" i="1"/>
  <c r="AF7" i="1"/>
  <c r="AE7" i="1"/>
  <c r="AD7" i="1"/>
  <c r="AC7" i="1"/>
  <c r="AB7" i="1"/>
  <c r="Z7" i="1"/>
  <c r="Y7" i="1"/>
  <c r="X7" i="1"/>
  <c r="W7" i="1"/>
  <c r="V7" i="1"/>
  <c r="U7" i="1"/>
  <c r="T7" i="1"/>
  <c r="R7" i="1"/>
  <c r="Q7" i="1"/>
  <c r="P7" i="1"/>
  <c r="O7" i="1"/>
  <c r="N7" i="1"/>
  <c r="M7" i="1"/>
  <c r="L7" i="1"/>
  <c r="J7" i="1"/>
  <c r="I7" i="1"/>
  <c r="H7" i="1"/>
  <c r="G7" i="1"/>
  <c r="F7" i="1"/>
  <c r="E7" i="1"/>
  <c r="D7" i="1"/>
</calcChain>
</file>

<file path=xl/sharedStrings.xml><?xml version="1.0" encoding="utf-8"?>
<sst xmlns="http://schemas.openxmlformats.org/spreadsheetml/2006/main" count="96" uniqueCount="19">
  <si>
    <t xml:space="preserve"> январь</t>
  </si>
  <si>
    <t>пн</t>
  </si>
  <si>
    <t xml:space="preserve"> май</t>
  </si>
  <si>
    <t xml:space="preserve"> сентябрь</t>
  </si>
  <si>
    <t>вт</t>
  </si>
  <si>
    <t>ср</t>
  </si>
  <si>
    <t>чт</t>
  </si>
  <si>
    <t>пт</t>
  </si>
  <si>
    <t>сб</t>
  </si>
  <si>
    <t xml:space="preserve"> февраль</t>
  </si>
  <si>
    <t xml:space="preserve"> июнь</t>
  </si>
  <si>
    <t xml:space="preserve"> октябрь</t>
  </si>
  <si>
    <t xml:space="preserve"> март</t>
  </si>
  <si>
    <t xml:space="preserve"> июль</t>
  </si>
  <si>
    <t xml:space="preserve"> ноябрь</t>
  </si>
  <si>
    <t xml:space="preserve"> апрель</t>
  </si>
  <si>
    <t xml:space="preserve"> август</t>
  </si>
  <si>
    <t xml:space="preserve"> декабрь</t>
  </si>
  <si>
    <t>вс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</si>
</sst>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31">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 fontId="8" fillId="4" borderId="0" xfId="4" applyFill="1" applyAlignment="1">
      <alignment vertical="top"/>
    </xf>
    <xf numFmtId="165" fontId="11" fillId="3" borderId="0" xfId="3" applyNumberFormat="1">
      <alignment horizontal="center" vertical="center"/>
    </xf>
    <xf numFmtId="165" fontId="2" fillId="3" borderId="0" xfId="0" applyNumberFormat="1" applyFont="1" applyFill="1"/>
    <xf numFmtId="165" fontId="11" fillId="3" borderId="0" xfId="3" applyNumberFormat="1" applyFill="1" applyBorder="1">
      <alignment horizontal="center" vertical="center"/>
    </xf>
    <xf numFmtId="0" fontId="2" fillId="3" borderId="0" xfId="0" applyNumberFormat="1" applyFont="1" applyFill="1" applyBorder="1" applyAlignment="1">
      <alignment vertical="top"/>
    </xf>
    <xf numFmtId="0" fontId="2" fillId="3" borderId="0" xfId="0" applyNumberFormat="1" applyFont="1" applyFill="1" applyBorder="1"/>
    <xf numFmtId="0" fontId="2" fillId="3" borderId="0" xfId="0" applyNumberFormat="1" applyFont="1" applyFill="1"/>
    <xf numFmtId="0" fontId="2" fillId="3" borderId="0" xfId="0" applyNumberFormat="1" applyFont="1" applyFill="1" applyAlignment="1">
      <alignment vertical="top"/>
    </xf>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xf numFmtId="0" fontId="9" fillId="3" borderId="0" xfId="1">
      <alignment horizontal="left"/>
    </xf>
  </cellXfs>
  <cellStyles count="5">
    <cellStyle name="Год" xfId="4" xr:uid="{00000000-0005-0000-0000-000001000000}"/>
    <cellStyle name="Дата" xfId="3" xr:uid="{00000000-0005-0000-0000-000002000000}"/>
    <cellStyle name="День недели" xfId="2" xr:uid="{00000000-0005-0000-0000-000003000000}"/>
    <cellStyle name="Месяц" xfId="1" xr:uid="{00000000-0005-0000-0000-000004000000}"/>
    <cellStyle name="Обычный" xfId="0" builtinId="0"/>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21"/>
</file>

<file path=xl/drawings/drawing1.xml><?xml version="1.0" encoding="utf-8"?>
<xdr:wsDr xmlns:xdr="http://schemas.openxmlformats.org/drawingml/2006/spreadsheetDrawing" xmlns:a="http://schemas.openxmlformats.org/drawingml/2006/main">
  <xdr:twoCellAnchor editAs="absolute">
    <xdr:from>
      <xdr:col>0</xdr:col>
      <xdr:colOff>315540</xdr:colOff>
      <xdr:row>1</xdr:row>
      <xdr:rowOff>19053</xdr:rowOff>
    </xdr:from>
    <xdr:to>
      <xdr:col>36</xdr:col>
      <xdr:colOff>73775</xdr:colOff>
      <xdr:row>33</xdr:row>
      <xdr:rowOff>420689</xdr:rowOff>
    </xdr:to>
    <xdr:grpSp>
      <xdr:nvGrpSpPr>
        <xdr:cNvPr id="2" name="Группа 1">
          <a:extLst>
            <a:ext uri="{FF2B5EF4-FFF2-40B4-BE49-F238E27FC236}">
              <a16:creationId xmlns:a16="http://schemas.microsoft.com/office/drawing/2014/main" id="{00000000-0008-0000-0000-000002000000}"/>
            </a:ext>
          </a:extLst>
        </xdr:cNvPr>
        <xdr:cNvGrpSpPr/>
      </xdr:nvGrpSpPr>
      <xdr:grpSpPr>
        <a:xfrm>
          <a:off x="315540" y="304803"/>
          <a:ext cx="8349785" cy="6878636"/>
          <a:chOff x="315540" y="304803"/>
          <a:chExt cx="8349785" cy="6878636"/>
        </a:xfrm>
      </xdr:grpSpPr>
      <xdr:sp macro="" textlink="">
        <xdr:nvSpPr>
          <xdr:cNvPr id="31" name="Полилиния 30">
            <a:extLst>
              <a:ext uri="{FF2B5EF4-FFF2-40B4-BE49-F238E27FC236}">
                <a16:creationId xmlns:a16="http://schemas.microsoft.com/office/drawing/2014/main" id="{00000000-0008-0000-0000-00001F000000}"/>
              </a:ext>
            </a:extLst>
          </xdr:cNvPr>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Полилиния 33">
            <a:extLst>
              <a:ext uri="{FF2B5EF4-FFF2-40B4-BE49-F238E27FC236}">
                <a16:creationId xmlns:a16="http://schemas.microsoft.com/office/drawing/2014/main" id="{00000000-0008-0000-0000-000022000000}"/>
              </a:ext>
            </a:extLst>
          </xdr:cNvPr>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Полилиния 15">
            <a:extLst>
              <a:ext uri="{FF2B5EF4-FFF2-40B4-BE49-F238E27FC236}">
                <a16:creationId xmlns:a16="http://schemas.microsoft.com/office/drawing/2014/main" id="{00000000-0008-0000-0000-000010000000}"/>
              </a:ext>
            </a:extLst>
          </xdr:cNvPr>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Полилиния 16">
            <a:extLst>
              <a:ext uri="{FF2B5EF4-FFF2-40B4-BE49-F238E27FC236}">
                <a16:creationId xmlns:a16="http://schemas.microsoft.com/office/drawing/2014/main" id="{00000000-0008-0000-0000-000011000000}"/>
              </a:ext>
            </a:extLst>
          </xdr:cNvPr>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Полилиния 22">
            <a:extLst>
              <a:ext uri="{FF2B5EF4-FFF2-40B4-BE49-F238E27FC236}">
                <a16:creationId xmlns:a16="http://schemas.microsoft.com/office/drawing/2014/main" id="{00000000-0008-0000-0000-000017000000}"/>
              </a:ext>
            </a:extLst>
          </xdr:cNvPr>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Полилиния 40">
            <a:extLst>
              <a:ext uri="{FF2B5EF4-FFF2-40B4-BE49-F238E27FC236}">
                <a16:creationId xmlns:a16="http://schemas.microsoft.com/office/drawing/2014/main" id="{00000000-0008-0000-0000-000029000000}"/>
              </a:ext>
            </a:extLst>
          </xdr:cNvPr>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Полилиния 41">
            <a:extLst>
              <a:ext uri="{FF2B5EF4-FFF2-40B4-BE49-F238E27FC236}">
                <a16:creationId xmlns:a16="http://schemas.microsoft.com/office/drawing/2014/main" id="{00000000-0008-0000-0000-00002A000000}"/>
              </a:ext>
            </a:extLst>
          </xdr:cNvPr>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Полилиния 42">
            <a:extLst>
              <a:ext uri="{FF2B5EF4-FFF2-40B4-BE49-F238E27FC236}">
                <a16:creationId xmlns:a16="http://schemas.microsoft.com/office/drawing/2014/main" id="{00000000-0008-0000-0000-00002B000000}"/>
              </a:ext>
            </a:extLst>
          </xdr:cNvPr>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Полилиния 43">
            <a:extLst>
              <a:ext uri="{FF2B5EF4-FFF2-40B4-BE49-F238E27FC236}">
                <a16:creationId xmlns:a16="http://schemas.microsoft.com/office/drawing/2014/main" id="{00000000-0008-0000-0000-00002C000000}"/>
              </a:ext>
            </a:extLst>
          </xdr:cNvPr>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6" name="Прямоугольник 45">
            <a:extLst>
              <a:ext uri="{FF2B5EF4-FFF2-40B4-BE49-F238E27FC236}">
                <a16:creationId xmlns:a16="http://schemas.microsoft.com/office/drawing/2014/main" id="{00000000-0008-0000-0000-00002E000000}"/>
              </a:ext>
            </a:extLst>
          </xdr:cNvPr>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mc:AlternateContent xmlns:mc="http://schemas.openxmlformats.org/markup-compatibility/2006">
    <mc:Choice xmlns:a14="http://schemas.microsoft.com/office/drawing/2010/main" Requires="a14">
      <xdr:twoCellAnchor editAs="absolute">
        <xdr:from>
          <xdr:col>34</xdr:col>
          <xdr:colOff>28575</xdr:colOff>
          <xdr:row>2</xdr:row>
          <xdr:rowOff>171450</xdr:rowOff>
        </xdr:from>
        <xdr:to>
          <xdr:col>34</xdr:col>
          <xdr:colOff>209550</xdr:colOff>
          <xdr:row>3</xdr:row>
          <xdr:rowOff>123825</xdr:rowOff>
        </xdr:to>
        <xdr:sp macro="" textlink="">
          <xdr:nvSpPr>
            <xdr:cNvPr id="1046" name="Счетчик 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B52"/>
  <sheetViews>
    <sheetView tabSelected="1" zoomScaleNormal="100" workbookViewId="0">
      <selection activeCell="AL2" sqref="AL2"/>
    </sheetView>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6"/>
      <c r="C2" s="26"/>
      <c r="D2" s="26"/>
      <c r="E2" s="26"/>
      <c r="F2" s="26"/>
      <c r="G2" s="29"/>
      <c r="H2" s="29"/>
      <c r="I2" s="29"/>
      <c r="J2" s="29"/>
      <c r="K2" s="29"/>
      <c r="L2" s="29"/>
      <c r="M2" s="29"/>
      <c r="N2" s="29"/>
      <c r="O2" s="29"/>
      <c r="P2" s="29"/>
      <c r="Q2" s="29"/>
      <c r="R2" s="29"/>
      <c r="S2" s="29"/>
      <c r="T2" s="29"/>
      <c r="U2" s="29"/>
      <c r="V2" s="29"/>
      <c r="W2" s="29"/>
      <c r="X2" s="29"/>
      <c r="Y2" s="29"/>
      <c r="Z2" s="28">
        <v>2021</v>
      </c>
      <c r="AA2" s="28"/>
      <c r="AB2" s="28"/>
      <c r="AC2" s="28"/>
      <c r="AD2" s="28"/>
      <c r="AE2" s="28"/>
      <c r="AF2" s="28"/>
      <c r="AG2" s="28"/>
      <c r="AH2" s="28"/>
      <c r="AI2" s="28"/>
      <c r="AJ2" s="26"/>
    </row>
    <row r="3" spans="2:74" ht="26.25" customHeight="1" x14ac:dyDescent="0.35">
      <c r="B3" s="26"/>
      <c r="C3" s="26"/>
      <c r="D3" s="26"/>
      <c r="E3" s="26"/>
      <c r="F3" s="26"/>
      <c r="G3" s="29"/>
      <c r="H3" s="29"/>
      <c r="I3" s="29"/>
      <c r="J3" s="29"/>
      <c r="K3" s="29"/>
      <c r="L3" s="29"/>
      <c r="M3" s="29"/>
      <c r="N3" s="29"/>
      <c r="O3" s="29"/>
      <c r="P3" s="29"/>
      <c r="Q3" s="29"/>
      <c r="R3" s="29"/>
      <c r="S3" s="29"/>
      <c r="T3" s="29"/>
      <c r="U3" s="29"/>
      <c r="V3" s="29"/>
      <c r="W3" s="29"/>
      <c r="X3" s="29"/>
      <c r="Y3" s="29"/>
      <c r="Z3" s="28"/>
      <c r="AA3" s="28"/>
      <c r="AB3" s="28"/>
      <c r="AC3" s="28"/>
      <c r="AD3" s="28"/>
      <c r="AE3" s="28"/>
      <c r="AF3" s="28"/>
      <c r="AG3" s="28"/>
      <c r="AH3" s="28"/>
      <c r="AI3" s="28"/>
      <c r="AJ3" s="26"/>
      <c r="AP3" s="16"/>
      <c r="AQ3" s="16"/>
      <c r="AR3" s="16"/>
      <c r="AS3" s="16"/>
      <c r="AT3" s="17"/>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row>
    <row r="4" spans="2:74" ht="30.75" customHeight="1" x14ac:dyDescent="0.25">
      <c r="B4" s="26"/>
      <c r="C4" s="26"/>
      <c r="D4" s="26"/>
      <c r="E4" s="26"/>
      <c r="F4" s="26"/>
      <c r="G4" s="29"/>
      <c r="H4" s="29"/>
      <c r="I4" s="29"/>
      <c r="J4" s="29"/>
      <c r="K4" s="29"/>
      <c r="L4" s="29"/>
      <c r="M4" s="29"/>
      <c r="N4" s="29"/>
      <c r="O4" s="29"/>
      <c r="P4" s="29"/>
      <c r="Q4" s="29"/>
      <c r="R4" s="29"/>
      <c r="S4" s="29"/>
      <c r="T4" s="29"/>
      <c r="U4" s="29"/>
      <c r="V4" s="29"/>
      <c r="W4" s="29"/>
      <c r="X4" s="29"/>
      <c r="Y4" s="29"/>
      <c r="Z4" s="28"/>
      <c r="AA4" s="28"/>
      <c r="AB4" s="28"/>
      <c r="AC4" s="28"/>
      <c r="AD4" s="28"/>
      <c r="AE4" s="28"/>
      <c r="AF4" s="28"/>
      <c r="AG4" s="28"/>
      <c r="AH4" s="28"/>
      <c r="AI4" s="28"/>
      <c r="AJ4" s="26"/>
      <c r="AL4" s="10"/>
      <c r="AM4" s="11"/>
      <c r="AN4" s="11"/>
      <c r="AO4" s="11"/>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row>
    <row r="5" spans="2:74" s="3" customFormat="1" ht="58.5" customHeight="1" x14ac:dyDescent="0.35">
      <c r="D5" s="30" t="s">
        <v>0</v>
      </c>
      <c r="E5" s="30"/>
      <c r="F5" s="30"/>
      <c r="G5" s="30"/>
      <c r="H5" s="30"/>
      <c r="I5" s="30"/>
      <c r="J5" s="30"/>
      <c r="K5" s="22"/>
      <c r="L5" s="30" t="s">
        <v>9</v>
      </c>
      <c r="M5" s="30"/>
      <c r="N5" s="30"/>
      <c r="O5" s="30"/>
      <c r="P5" s="30"/>
      <c r="Q5" s="30"/>
      <c r="R5" s="30"/>
      <c r="S5" s="22"/>
      <c r="T5" s="30" t="s">
        <v>12</v>
      </c>
      <c r="U5" s="30"/>
      <c r="V5" s="30"/>
      <c r="W5" s="30"/>
      <c r="X5" s="30"/>
      <c r="Y5" s="30"/>
      <c r="Z5" s="30"/>
      <c r="AA5" s="22"/>
      <c r="AB5" s="30" t="s">
        <v>15</v>
      </c>
      <c r="AC5" s="30"/>
      <c r="AD5" s="30"/>
      <c r="AE5" s="30"/>
      <c r="AF5" s="30"/>
      <c r="AG5" s="30"/>
      <c r="AH5" s="30"/>
      <c r="AI5" s="25"/>
      <c r="AJ5" s="25"/>
      <c r="AM5" s="12"/>
      <c r="AN5" s="12"/>
      <c r="AO5" s="12"/>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row>
    <row r="6" spans="2:74" ht="12.75" customHeight="1" x14ac:dyDescent="0.25">
      <c r="C6" s="4"/>
      <c r="D6" s="5" t="s">
        <v>1</v>
      </c>
      <c r="E6" s="5" t="s">
        <v>4</v>
      </c>
      <c r="F6" s="5" t="s">
        <v>5</v>
      </c>
      <c r="G6" s="5" t="s">
        <v>6</v>
      </c>
      <c r="H6" s="5" t="s">
        <v>7</v>
      </c>
      <c r="I6" s="5" t="s">
        <v>8</v>
      </c>
      <c r="J6" s="1" t="s">
        <v>18</v>
      </c>
      <c r="K6" s="23"/>
      <c r="L6" s="5" t="s">
        <v>1</v>
      </c>
      <c r="M6" s="5" t="s">
        <v>4</v>
      </c>
      <c r="N6" s="5" t="s">
        <v>5</v>
      </c>
      <c r="O6" s="5" t="s">
        <v>6</v>
      </c>
      <c r="P6" s="5" t="s">
        <v>7</v>
      </c>
      <c r="Q6" s="5" t="s">
        <v>8</v>
      </c>
      <c r="R6" s="1" t="s">
        <v>18</v>
      </c>
      <c r="S6" s="23"/>
      <c r="T6" s="5" t="s">
        <v>1</v>
      </c>
      <c r="U6" s="5" t="s">
        <v>4</v>
      </c>
      <c r="V6" s="5" t="s">
        <v>5</v>
      </c>
      <c r="W6" s="5" t="s">
        <v>6</v>
      </c>
      <c r="X6" s="5" t="s">
        <v>7</v>
      </c>
      <c r="Y6" s="5" t="s">
        <v>8</v>
      </c>
      <c r="Z6" s="1" t="s">
        <v>18</v>
      </c>
      <c r="AA6" s="23"/>
      <c r="AB6" s="5" t="s">
        <v>1</v>
      </c>
      <c r="AC6" s="5" t="s">
        <v>4</v>
      </c>
      <c r="AD6" s="5" t="s">
        <v>5</v>
      </c>
      <c r="AE6" s="5" t="s">
        <v>6</v>
      </c>
      <c r="AF6" s="5" t="s">
        <v>7</v>
      </c>
      <c r="AG6" s="5" t="s">
        <v>8</v>
      </c>
      <c r="AH6" s="1" t="s">
        <v>18</v>
      </c>
      <c r="AI6" s="24"/>
      <c r="AJ6" s="24"/>
    </row>
    <row r="7" spans="2:74" ht="12.95" customHeight="1" x14ac:dyDescent="0.25">
      <c r="D7" s="19" t="str">
        <f>IF(AND(YEAR(ЯнвВс1)=Год,MONTH(ЯнвВс1)=1),ЯнвВс1, "")</f>
        <v/>
      </c>
      <c r="E7" s="19" t="str">
        <f>IF(AND(YEAR(ЯнвВс1+1)=Год,MONTH(ЯнвВс1+1)=1),ЯнвВс1+1, "")</f>
        <v/>
      </c>
      <c r="F7" s="19" t="str">
        <f>IF(AND(YEAR(ЯнвВс1+2)=Год,MONTH(ЯнвВс1+2)=1),ЯнвВс1+2, "")</f>
        <v/>
      </c>
      <c r="G7" s="19" t="str">
        <f>IF(AND(YEAR(ЯнвВс1+3)=Год,MONTH(ЯнвВс1+3)=1),ЯнвВс1+3, "")</f>
        <v/>
      </c>
      <c r="H7" s="19">
        <f>IF(AND(YEAR(ЯнвВс1+4)=Год,MONTH(ЯнвВс1+4)=1),ЯнвВс1+4, "")</f>
        <v>44197</v>
      </c>
      <c r="I7" s="19">
        <f>IF(AND(YEAR(ЯнвВс1+5)=Год,MONTH(ЯнвВс1+5)=1),ЯнвВс1+5, "")</f>
        <v>44198</v>
      </c>
      <c r="J7" s="19">
        <f>IF(AND(YEAR(ЯнвВс1+6)=Год,MONTH(ЯнвВс1+6)=1),ЯнвВс1+6, "")</f>
        <v>44199</v>
      </c>
      <c r="K7" s="23"/>
      <c r="L7" s="19">
        <f>IF(AND(YEAR(ФевВс1)=Год,MONTH(ФевВс1)=2),ФевВс1, "")</f>
        <v>44228</v>
      </c>
      <c r="M7" s="19">
        <f>IF(AND(YEAR(ФевВс1+1)=Год,MONTH(ФевВс1+1)=2),ФевВс1+1, "")</f>
        <v>44229</v>
      </c>
      <c r="N7" s="19">
        <f>IF(AND(YEAR(ФевВс1+2)=Год,MONTH(ФевВс1+2)=2),ФевВс1+2, "")</f>
        <v>44230</v>
      </c>
      <c r="O7" s="19">
        <f>IF(AND(YEAR(ФевВс1+3)=Год,MONTH(ФевВс1+3)=2),ФевВс1+3, "")</f>
        <v>44231</v>
      </c>
      <c r="P7" s="19">
        <f>IF(AND(YEAR(ФевВс1+4)=Год,MONTH(ФевВс1+4)=2),ФевВс1+4, "")</f>
        <v>44232</v>
      </c>
      <c r="Q7" s="19">
        <f>IF(AND(YEAR(ФевВс1+5)=Год,MONTH(ФевВс1+5)=2),ФевВс1+5, "")</f>
        <v>44233</v>
      </c>
      <c r="R7" s="19">
        <f>IF(AND(YEAR(ФевВс1+6)=Год,MONTH(ФевВс1+6)=2),ФевВс1+6, "")</f>
        <v>44234</v>
      </c>
      <c r="S7" s="23"/>
      <c r="T7" s="19">
        <f>IF(AND(YEAR(МарВс1)=Год,MONTH(МарВс1)=3),МарВс1, "")</f>
        <v>44256</v>
      </c>
      <c r="U7" s="19">
        <f>IF(AND(YEAR(МарВс1+1)=Год,MONTH(МарВс1+1)=3),МарВс1+1, "")</f>
        <v>44257</v>
      </c>
      <c r="V7" s="19">
        <f>IF(AND(YEAR(МарВс1+2)=Год,MONTH(МарВс1+2)=3),МарВс1+2, "")</f>
        <v>44258</v>
      </c>
      <c r="W7" s="19">
        <f>IF(AND(YEAR(МарВс1+3)=Год,MONTH(МарВс1+3)=3),МарВс1+3, "")</f>
        <v>44259</v>
      </c>
      <c r="X7" s="19">
        <f>IF(AND(YEAR(МарВс1+4)=Год,MONTH(МарВс1+4)=3),МарВс1+4, "")</f>
        <v>44260</v>
      </c>
      <c r="Y7" s="19">
        <f>IF(AND(YEAR(МарВс1+5)=Год,MONTH(МарВс1+5)=3),МарВс1+5, "")</f>
        <v>44261</v>
      </c>
      <c r="Z7" s="19">
        <f>IF(AND(YEAR(МарВс1+6)=Год,MONTH(МарВс1+6)=3),МарВс1+6, "")</f>
        <v>44262</v>
      </c>
      <c r="AA7" s="23"/>
      <c r="AB7" s="19" t="str">
        <f>IF(AND(YEAR(АпрВс1)=Год,MONTH(АпрВс1)=4),АпрВс1, "")</f>
        <v/>
      </c>
      <c r="AC7" s="19" t="str">
        <f>IF(AND(YEAR(АпрВс1+1)=Год,MONTH(АпрВс1+1)=4),АпрВс1+1, "")</f>
        <v/>
      </c>
      <c r="AD7" s="19" t="str">
        <f>IF(AND(YEAR(АпрВс1+2)=Год,MONTH(АпрВс1+2)=4),АпрВс1+2, "")</f>
        <v/>
      </c>
      <c r="AE7" s="19">
        <f>IF(AND(YEAR(АпрВс1+3)=Год,MONTH(АпрВс1+3)=4),АпрВс1+3, "")</f>
        <v>44287</v>
      </c>
      <c r="AF7" s="19">
        <f>IF(AND(YEAR(АпрВс1+4)=Год,MONTH(АпрВс1+4)=4),АпрВс1+4, "")</f>
        <v>44288</v>
      </c>
      <c r="AG7" s="19">
        <f>IF(AND(YEAR(АпрВс1+5)=Год,MONTH(АпрВс1+5)=4),АпрВс1+5, "")</f>
        <v>44289</v>
      </c>
      <c r="AH7" s="19">
        <f>IF(AND(YEAR(АпрВс1+6)=Год,MONTH(АпрВс1+6)=4),АпрВс1+6, "")</f>
        <v>44290</v>
      </c>
      <c r="AI7" s="24"/>
      <c r="AJ7" s="24"/>
    </row>
    <row r="8" spans="2:74" ht="12.95" customHeight="1" x14ac:dyDescent="0.25">
      <c r="D8" s="19">
        <f>IF(AND(YEAR(ЯнвВс1+7)=Год,MONTH(ЯнвВс1+7)=1),ЯнвВс1+7, "")</f>
        <v>44200</v>
      </c>
      <c r="E8" s="19">
        <f>IF(AND(YEAR(ЯнвВс1+8)=Год,MONTH(ЯнвВс1+8)=1),ЯнвВс1+8, "")</f>
        <v>44201</v>
      </c>
      <c r="F8" s="19">
        <f>IF(AND(YEAR(ЯнвВс1+9)=Год,MONTH(ЯнвВс1+9)=1),ЯнвВс1+9, "")</f>
        <v>44202</v>
      </c>
      <c r="G8" s="19">
        <f>IF(AND(YEAR(ЯнвВс1+10)=Год,MONTH(ЯнвВс1+10)=1),ЯнвВс1+10, "")</f>
        <v>44203</v>
      </c>
      <c r="H8" s="19">
        <f>IF(AND(YEAR(ЯнвВс1+11)=Год,MONTH(ЯнвВс1+11)=1),ЯнвВс1+11, "")</f>
        <v>44204</v>
      </c>
      <c r="I8" s="19">
        <f>IF(AND(YEAR(ЯнвВс1+12)=Год,MONTH(ЯнвВс1+12)=1),ЯнвВс1+12, "")</f>
        <v>44205</v>
      </c>
      <c r="J8" s="19">
        <f>IF(AND(YEAR(ЯнвВс1+13)=Год,MONTH(ЯнвВс1+13)=1),ЯнвВс1+13, "")</f>
        <v>44206</v>
      </c>
      <c r="K8" s="23"/>
      <c r="L8" s="19">
        <f>IF(AND(YEAR(ФевВс1+7)=Год,MONTH(ФевВс1+7)=2),ФевВс1+7, "")</f>
        <v>44235</v>
      </c>
      <c r="M8" s="19">
        <f>IF(AND(YEAR(ФевВс1+8)=Год,MONTH(ФевВс1+8)=2),ФевВс1+8, "")</f>
        <v>44236</v>
      </c>
      <c r="N8" s="19">
        <f>IF(AND(YEAR(ФевВс1+9)=Год,MONTH(ФевВс1+9)=2),ФевВс1+9, "")</f>
        <v>44237</v>
      </c>
      <c r="O8" s="19">
        <f>IF(AND(YEAR(ФевВс1+10)=Год,MONTH(ФевВс1+10)=2),ФевВс1+10, "")</f>
        <v>44238</v>
      </c>
      <c r="P8" s="19">
        <f>IF(AND(YEAR(ФевВс1+11)=Год,MONTH(ФевВс1+11)=2),ФевВс1+11, "")</f>
        <v>44239</v>
      </c>
      <c r="Q8" s="19">
        <f>IF(AND(YEAR(ФевВс1+12)=Год,MONTH(ФевВс1+12)=2),ФевВс1+12, "")</f>
        <v>44240</v>
      </c>
      <c r="R8" s="19">
        <f>IF(AND(YEAR(ФевВс1+13)=Год,MONTH(ФевВс1+13)=2),ФевВс1+13, "")</f>
        <v>44241</v>
      </c>
      <c r="S8" s="23"/>
      <c r="T8" s="19">
        <f>IF(AND(YEAR(МарВс1+7)=Год,MONTH(МарВс1+7)=3),МарВс1+7, "")</f>
        <v>44263</v>
      </c>
      <c r="U8" s="19">
        <f>IF(AND(YEAR(МарВс1+8)=Год,MONTH(МарВс1+8)=3),МарВс1+8, "")</f>
        <v>44264</v>
      </c>
      <c r="V8" s="19">
        <f>IF(AND(YEAR(МарВс1+9)=Год,MONTH(МарВс1+9)=3),МарВс1+9, "")</f>
        <v>44265</v>
      </c>
      <c r="W8" s="19">
        <f>IF(AND(YEAR(МарВс1+10)=Год,MONTH(МарВс1+10)=3),МарВс1+10, "")</f>
        <v>44266</v>
      </c>
      <c r="X8" s="19">
        <f>IF(AND(YEAR(МарВс1+11)=Год,MONTH(МарВс1+11)=3),МарВс1+11, "")</f>
        <v>44267</v>
      </c>
      <c r="Y8" s="19">
        <f>IF(AND(YEAR(МарВс1+12)=Год,MONTH(МарВс1+12)=3),МарВс1+12, "")</f>
        <v>44268</v>
      </c>
      <c r="Z8" s="19">
        <f>IF(AND(YEAR(МарВс1+13)=Год,MONTH(МарВс1+13)=3),МарВс1+13, "")</f>
        <v>44269</v>
      </c>
      <c r="AA8" s="23"/>
      <c r="AB8" s="19">
        <f>IF(AND(YEAR(АпрВс1+7)=Год,MONTH(АпрВс1+7)=4),АпрВс1+7, "")</f>
        <v>44291</v>
      </c>
      <c r="AC8" s="19">
        <f>IF(AND(YEAR(АпрВс1+8)=Год,MONTH(АпрВс1+8)=4),АпрВс1+8, "")</f>
        <v>44292</v>
      </c>
      <c r="AD8" s="19">
        <f>IF(AND(YEAR(АпрВс1+9)=Год,MONTH(АпрВс1+9)=4),АпрВс1+9, "")</f>
        <v>44293</v>
      </c>
      <c r="AE8" s="19">
        <f>IF(AND(YEAR(АпрВс1+10)=Год,MONTH(АпрВс1+10)=4),АпрВс1+10, "")</f>
        <v>44294</v>
      </c>
      <c r="AF8" s="19">
        <f>IF(AND(YEAR(АпрВс1+11)=Год,MONTH(АпрВс1+11)=4),АпрВс1+11, "")</f>
        <v>44295</v>
      </c>
      <c r="AG8" s="19">
        <f>IF(AND(YEAR(АпрВс1+12)=Год,MONTH(АпрВс1+12)=4),АпрВс1+12, "")</f>
        <v>44296</v>
      </c>
      <c r="AH8" s="19">
        <f>IF(AND(YEAR(АпрВс1+13)=Год,MONTH(АпрВс1+13)=4),АпрВс1+13, "")</f>
        <v>44297</v>
      </c>
      <c r="AI8" s="24"/>
      <c r="AJ8" s="24"/>
    </row>
    <row r="9" spans="2:74" ht="12.95" customHeight="1" x14ac:dyDescent="0.25">
      <c r="D9" s="19">
        <f>IF(AND(YEAR(ЯнвВс1+14)=Год,MONTH(ЯнвВс1+14)=1),ЯнвВс1+14, "")</f>
        <v>44207</v>
      </c>
      <c r="E9" s="19">
        <f>IF(AND(YEAR(ЯнвВс1+15)=Год,MONTH(ЯнвВс1+15)=1),ЯнвВс1+15, "")</f>
        <v>44208</v>
      </c>
      <c r="F9" s="19">
        <f>IF(AND(YEAR(ЯнвВс1+16)=Год,MONTH(ЯнвВс1+16)=1),ЯнвВс1+16, "")</f>
        <v>44209</v>
      </c>
      <c r="G9" s="19">
        <f>IF(AND(YEAR(ЯнвВс1+17)=Год,MONTH(ЯнвВс1+17)=1),ЯнвВс1+17, "")</f>
        <v>44210</v>
      </c>
      <c r="H9" s="19">
        <f>IF(AND(YEAR(ЯнвВс1+18)=Год,MONTH(ЯнвВс1+18)=1),ЯнвВс1+18, "")</f>
        <v>44211</v>
      </c>
      <c r="I9" s="19">
        <f>IF(AND(YEAR(ЯнвВс1+19)=Год,MONTH(ЯнвВс1+19)=1),ЯнвВс1+19, "")</f>
        <v>44212</v>
      </c>
      <c r="J9" s="19">
        <f>IF(AND(YEAR(ЯнвВс1+20)=Год,MONTH(ЯнвВс1+20)=1),ЯнвВс1+20, "")</f>
        <v>44213</v>
      </c>
      <c r="K9" s="23"/>
      <c r="L9" s="19">
        <f>IF(AND(YEAR(ФевВс1+14)=Год,MONTH(ФевВс1+14)=2),ФевВс1+14, "")</f>
        <v>44242</v>
      </c>
      <c r="M9" s="19">
        <f>IF(AND(YEAR(ФевВс1+15)=Год,MONTH(ФевВс1+15)=2),ФевВс1+15, "")</f>
        <v>44243</v>
      </c>
      <c r="N9" s="19">
        <f>IF(AND(YEAR(ФевВс1+16)=Год,MONTH(ФевВс1+16)=2),ФевВс1+16, "")</f>
        <v>44244</v>
      </c>
      <c r="O9" s="19">
        <f>IF(AND(YEAR(ФевВс1+17)=Год,MONTH(ФевВс1+17)=2),ФевВс1+17, "")</f>
        <v>44245</v>
      </c>
      <c r="P9" s="19">
        <f>IF(AND(YEAR(ФевВс1+18)=Год,MONTH(ФевВс1+18)=2),ФевВс1+18, "")</f>
        <v>44246</v>
      </c>
      <c r="Q9" s="19">
        <f>IF(AND(YEAR(ФевВс1+19)=Год,MONTH(ФевВс1+19)=2),ФевВс1+19, "")</f>
        <v>44247</v>
      </c>
      <c r="R9" s="19">
        <f>IF(AND(YEAR(ФевВс1+20)=Год,MONTH(ФевВс1+20)=2),ФевВс1+20, "")</f>
        <v>44248</v>
      </c>
      <c r="S9" s="23"/>
      <c r="T9" s="19">
        <f>IF(AND(YEAR(МарВс1+14)=Год,MONTH(МарВс1+14)=3),МарВс1+14, "")</f>
        <v>44270</v>
      </c>
      <c r="U9" s="19">
        <f>IF(AND(YEAR(МарВс1+15)=Год,MONTH(МарВс1+15)=3),МарВс1+15, "")</f>
        <v>44271</v>
      </c>
      <c r="V9" s="19">
        <f>IF(AND(YEAR(МарВс1+16)=Год,MONTH(МарВс1+16)=3),МарВс1+16, "")</f>
        <v>44272</v>
      </c>
      <c r="W9" s="19">
        <f>IF(AND(YEAR(МарВс1+17)=Год,MONTH(МарВс1+17)=3),МарВс1+17, "")</f>
        <v>44273</v>
      </c>
      <c r="X9" s="19">
        <f>IF(AND(YEAR(МарВс1+18)=Год,MONTH(МарВс1+18)=3),МарВс1+18, "")</f>
        <v>44274</v>
      </c>
      <c r="Y9" s="19">
        <f>IF(AND(YEAR(МарВс1+19)=Год,MONTH(МарВс1+19)=3),МарВс1+19, "")</f>
        <v>44275</v>
      </c>
      <c r="Z9" s="19">
        <f>IF(AND(YEAR(МарВс1+20)=Год,MONTH(МарВс1+20)=3),МарВс1+20, "")</f>
        <v>44276</v>
      </c>
      <c r="AA9" s="23"/>
      <c r="AB9" s="19">
        <f>IF(AND(YEAR(АпрВс1+14)=Год,MONTH(АпрВс1+14)=4),АпрВс1+14, "")</f>
        <v>44298</v>
      </c>
      <c r="AC9" s="19">
        <f>IF(AND(YEAR(АпрВс1+15)=Год,MONTH(АпрВс1+15)=4),АпрВс1+15, "")</f>
        <v>44299</v>
      </c>
      <c r="AD9" s="19">
        <f>IF(AND(YEAR(АпрВс1+16)=Год,MONTH(АпрВс1+16)=4),АпрВс1+16, "")</f>
        <v>44300</v>
      </c>
      <c r="AE9" s="19">
        <f>IF(AND(YEAR(АпрВс1+17)=Год,MONTH(АпрВс1+17)=4),АпрВс1+17, "")</f>
        <v>44301</v>
      </c>
      <c r="AF9" s="19">
        <f>IF(AND(YEAR(АпрВс1+18)=Год,MONTH(АпрВс1+18)=4),АпрВс1+18, "")</f>
        <v>44302</v>
      </c>
      <c r="AG9" s="19">
        <f>IF(AND(YEAR(АпрВс1+19)=Год,MONTH(АпрВс1+19)=4),АпрВс1+19, "")</f>
        <v>44303</v>
      </c>
      <c r="AH9" s="19">
        <f>IF(AND(YEAR(АпрВс1+20)=Год,MONTH(АпрВс1+20)=4),АпрВс1+20, "")</f>
        <v>44304</v>
      </c>
      <c r="AI9" s="24"/>
      <c r="AJ9" s="24"/>
    </row>
    <row r="10" spans="2:74" ht="12.95" customHeight="1" x14ac:dyDescent="0.25">
      <c r="D10" s="19">
        <f>IF(AND(YEAR(ЯнвВс1+21)=Год,MONTH(ЯнвВс1+21)=1),ЯнвВс1+21, "")</f>
        <v>44214</v>
      </c>
      <c r="E10" s="19">
        <f>IF(AND(YEAR(ЯнвВс1+22)=Год,MONTH(ЯнвВс1+22)=1),ЯнвВс1+22, "")</f>
        <v>44215</v>
      </c>
      <c r="F10" s="19">
        <f>IF(AND(YEAR(ЯнвВс1+23)=Год,MONTH(ЯнвВс1+23)=1),ЯнвВс1+23, "")</f>
        <v>44216</v>
      </c>
      <c r="G10" s="19">
        <f>IF(AND(YEAR(ЯнвВс1+24)=Год,MONTH(ЯнвВс1+24)=1),ЯнвВс1+24, "")</f>
        <v>44217</v>
      </c>
      <c r="H10" s="19">
        <f>IF(AND(YEAR(ЯнвВс1+25)=Год,MONTH(ЯнвВс1+25)=1),ЯнвВс1+25, "")</f>
        <v>44218</v>
      </c>
      <c r="I10" s="19">
        <f>IF(AND(YEAR(ЯнвВс1+26)=Год,MONTH(ЯнвВс1+26)=1),ЯнвВс1+26, "")</f>
        <v>44219</v>
      </c>
      <c r="J10" s="19">
        <f>IF(AND(YEAR(ЯнвВс1+27)=Год,MONTH(ЯнвВс1+27)=1),ЯнвВс1+27, "")</f>
        <v>44220</v>
      </c>
      <c r="K10" s="23"/>
      <c r="L10" s="19">
        <f>IF(AND(YEAR(ФевВс1+21)=Год,MONTH(ФевВс1+21)=2),ФевВс1+21, "")</f>
        <v>44249</v>
      </c>
      <c r="M10" s="19">
        <f>IF(AND(YEAR(ФевВс1+22)=Год,MONTH(ФевВс1+22)=2),ФевВс1+22, "")</f>
        <v>44250</v>
      </c>
      <c r="N10" s="19">
        <f>IF(AND(YEAR(ФевВс1+23)=Год,MONTH(ФевВс1+23)=2),ФевВс1+23, "")</f>
        <v>44251</v>
      </c>
      <c r="O10" s="19">
        <f>IF(AND(YEAR(ФевВс1+24)=Год,MONTH(ФевВс1+24)=2),ФевВс1+24, "")</f>
        <v>44252</v>
      </c>
      <c r="P10" s="19">
        <f>IF(AND(YEAR(ФевВс1+25)=Год,MONTH(ФевВс1+25)=2),ФевВс1+25, "")</f>
        <v>44253</v>
      </c>
      <c r="Q10" s="19">
        <f>IF(AND(YEAR(ФевВс1+26)=Год,MONTH(ФевВс1+26)=2),ФевВс1+26, "")</f>
        <v>44254</v>
      </c>
      <c r="R10" s="19">
        <f>IF(AND(YEAR(ФевВс1+27)=Год,MONTH(ФевВс1+27)=2),ФевВс1+27, "")</f>
        <v>44255</v>
      </c>
      <c r="S10" s="23"/>
      <c r="T10" s="19">
        <f>IF(AND(YEAR(МарВс1+21)=Год,MONTH(МарВс1+21)=3),МарВс1+21, "")</f>
        <v>44277</v>
      </c>
      <c r="U10" s="19">
        <f>IF(AND(YEAR(МарВс1+22)=Год,MONTH(МарВс1+22)=3),МарВс1+22, "")</f>
        <v>44278</v>
      </c>
      <c r="V10" s="19">
        <f>IF(AND(YEAR(МарВс1+23)=Год,MONTH(МарВс1+23)=3),МарВс1+23, "")</f>
        <v>44279</v>
      </c>
      <c r="W10" s="19">
        <f>IF(AND(YEAR(МарВс1+24)=Год,MONTH(МарВс1+24)=3),МарВс1+24, "")</f>
        <v>44280</v>
      </c>
      <c r="X10" s="19">
        <f>IF(AND(YEAR(МарВс1+25)=Год,MONTH(МарВс1+25)=3),МарВс1+25, "")</f>
        <v>44281</v>
      </c>
      <c r="Y10" s="19">
        <f>IF(AND(YEAR(МарВс1+26)=Год,MONTH(МарВс1+26)=3),МарВс1+26, "")</f>
        <v>44282</v>
      </c>
      <c r="Z10" s="19">
        <f>IF(AND(YEAR(МарВс1+27)=Год,MONTH(МарВс1+27)=3),МарВс1+27, "")</f>
        <v>44283</v>
      </c>
      <c r="AA10" s="23"/>
      <c r="AB10" s="19">
        <f>IF(AND(YEAR(АпрВс1+21)=Год,MONTH(АпрВс1+21)=4),АпрВс1+21, "")</f>
        <v>44305</v>
      </c>
      <c r="AC10" s="19">
        <f>IF(AND(YEAR(АпрВс1+22)=Год,MONTH(АпрВс1+22)=4),АпрВс1+22, "")</f>
        <v>44306</v>
      </c>
      <c r="AD10" s="19">
        <f>IF(AND(YEAR(АпрВс1+23)=Год,MONTH(АпрВс1+23)=4),АпрВс1+23, "")</f>
        <v>44307</v>
      </c>
      <c r="AE10" s="19">
        <f>IF(AND(YEAR(АпрВс1+24)=Год,MONTH(АпрВс1+24)=4),АпрВс1+24, "")</f>
        <v>44308</v>
      </c>
      <c r="AF10" s="19">
        <f>IF(AND(YEAR(АпрВс1+25)=Год,MONTH(АпрВс1+25)=4),АпрВс1+25, "")</f>
        <v>44309</v>
      </c>
      <c r="AG10" s="19">
        <f>IF(AND(YEAR(АпрВс1+26)=Год,MONTH(АпрВс1+26)=4),АпрВс1+26, "")</f>
        <v>44310</v>
      </c>
      <c r="AH10" s="19">
        <f>IF(AND(YEAR(АпрВс1+27)=Год,MONTH(АпрВс1+27)=4),АпрВс1+27, "")</f>
        <v>44311</v>
      </c>
      <c r="AI10" s="24"/>
      <c r="AJ10" s="24"/>
    </row>
    <row r="11" spans="2:74" ht="12.95" customHeight="1" x14ac:dyDescent="0.25">
      <c r="D11" s="19">
        <f>IF(AND(YEAR(ЯнвВс1+28)=Год,MONTH(ЯнвВс1+28)=1),ЯнвВс1+28, "")</f>
        <v>44221</v>
      </c>
      <c r="E11" s="19">
        <f>IF(AND(YEAR(ЯнвВс1+29)=Год,MONTH(ЯнвВс1+29)=1),ЯнвВс1+29, "")</f>
        <v>44222</v>
      </c>
      <c r="F11" s="19">
        <f>IF(AND(YEAR(ЯнвВс1+30)=Год,MONTH(ЯнвВс1+30)=1),ЯнвВс1+30, "")</f>
        <v>44223</v>
      </c>
      <c r="G11" s="19">
        <f>IF(AND(YEAR(ЯнвВс1+31)=Год,MONTH(ЯнвВс1+31)=1),ЯнвВс1+31, "")</f>
        <v>44224</v>
      </c>
      <c r="H11" s="19">
        <f>IF(AND(YEAR(ЯнвВс1+32)=Год,MONTH(ЯнвВс1+32)=1),ЯнвВс1+32, "")</f>
        <v>44225</v>
      </c>
      <c r="I11" s="19">
        <f>IF(AND(YEAR(ЯнвВс1+33)=Год,MONTH(ЯнвВс1+33)=1),ЯнвВс1+33, "")</f>
        <v>44226</v>
      </c>
      <c r="J11" s="19">
        <f>IF(AND(YEAR(ЯнвВс1+34)=Год,MONTH(ЯнвВс1+34)=1),ЯнвВс1+34, "")</f>
        <v>44227</v>
      </c>
      <c r="K11" s="23"/>
      <c r="L11" s="19" t="str">
        <f>IF(AND(YEAR(ФевВс1+28)=Год,MONTH(ФевВс1+28)=2),ФевВс1+28, "")</f>
        <v/>
      </c>
      <c r="M11" s="19" t="str">
        <f>IF(AND(YEAR(ФевВс1+29)=Год,MONTH(ФевВс1+29)=2),ФевВс1+29, "")</f>
        <v/>
      </c>
      <c r="N11" s="19" t="str">
        <f>IF(AND(YEAR(ФевВс1+30)=Год,MONTH(ФевВс1+30)=2),ФевВс1+30, "")</f>
        <v/>
      </c>
      <c r="O11" s="19" t="str">
        <f>IF(AND(YEAR(ФевВс1+31)=Год,MONTH(ФевВс1+31)=2),ФевВс1+31, "")</f>
        <v/>
      </c>
      <c r="P11" s="19" t="str">
        <f>IF(AND(YEAR(ФевВс1+32)=Год,MONTH(ФевВс1+32)=2),ФевВс1+32, "")</f>
        <v/>
      </c>
      <c r="Q11" s="19" t="str">
        <f>IF(AND(YEAR(ФевВс1+33)=Год,MONTH(ФевВс1+33)=2),ФевВс1+33, "")</f>
        <v/>
      </c>
      <c r="R11" s="19" t="str">
        <f>IF(AND(YEAR(ФевВс1+34)=Год,MONTH(ФевВс1+34)=2),ФевВс1+34, "")</f>
        <v/>
      </c>
      <c r="S11" s="23"/>
      <c r="T11" s="19">
        <f>IF(AND(YEAR(МарВс1+28)=Год,MONTH(МарВс1+28)=3),МарВс1+28, "")</f>
        <v>44284</v>
      </c>
      <c r="U11" s="19">
        <f>IF(AND(YEAR(МарВс1+29)=Год,MONTH(МарВс1+29)=3),МарВс1+29, "")</f>
        <v>44285</v>
      </c>
      <c r="V11" s="19">
        <f>IF(AND(YEAR(МарВс1+30)=Год,MONTH(МарВс1+30)=3),МарВс1+30, "")</f>
        <v>44286</v>
      </c>
      <c r="W11" s="19" t="str">
        <f>IF(AND(YEAR(МарВс1+31)=Год,MONTH(МарВс1+31)=3),МарВс1+31, "")</f>
        <v/>
      </c>
      <c r="X11" s="19" t="str">
        <f>IF(AND(YEAR(МарВс1+32)=Год,MONTH(МарВс1+32)=3),МарВс1+32, "")</f>
        <v/>
      </c>
      <c r="Y11" s="19" t="str">
        <f>IF(AND(YEAR(МарВс1+33)=Год,MONTH(МарВс1+33)=3),МарВс1+33, "")</f>
        <v/>
      </c>
      <c r="Z11" s="19" t="str">
        <f>IF(AND(YEAR(МарВс1+34)=Год,MONTH(МарВс1+34)=3),МарВс1+34, "")</f>
        <v/>
      </c>
      <c r="AA11" s="23"/>
      <c r="AB11" s="19">
        <f>IF(AND(YEAR(АпрВс1+28)=Год,MONTH(АпрВс1+28)=4),АпрВс1+28, "")</f>
        <v>44312</v>
      </c>
      <c r="AC11" s="19">
        <f>IF(AND(YEAR(АпрВс1+29)=Год,MONTH(АпрВс1+29)=4),АпрВс1+29, "")</f>
        <v>44313</v>
      </c>
      <c r="AD11" s="19">
        <f>IF(AND(YEAR(АпрВс1+30)=Год,MONTH(АпрВс1+30)=4),АпрВс1+30, "")</f>
        <v>44314</v>
      </c>
      <c r="AE11" s="19">
        <f>IF(AND(YEAR(АпрВс1+31)=Год,MONTH(АпрВс1+31)=4),АпрВс1+31, "")</f>
        <v>44315</v>
      </c>
      <c r="AF11" s="19">
        <f>IF(AND(YEAR(АпрВс1+32)=Год,MONTH(АпрВс1+32)=4),АпрВс1+32, "")</f>
        <v>44316</v>
      </c>
      <c r="AG11" s="19" t="str">
        <f>IF(AND(YEAR(АпрВс1+33)=Год,MONTH(АпрВс1+33)=4),АпрВс1+33, "")</f>
        <v/>
      </c>
      <c r="AH11" s="19" t="str">
        <f>IF(AND(YEAR(АпрВс1+34)=Год,MONTH(АпрВс1+34)=4),АпрВс1+34, "")</f>
        <v/>
      </c>
      <c r="AI11" s="24"/>
      <c r="AJ11" s="24"/>
      <c r="AM11" s="13"/>
    </row>
    <row r="12" spans="2:74" ht="12.95" customHeight="1" x14ac:dyDescent="0.25">
      <c r="D12" s="19" t="str">
        <f>IF(AND(YEAR(ЯнвВс1+35)=Год,MONTH(ЯнвВс1+35)=1),ЯнвВс1+35, "")</f>
        <v/>
      </c>
      <c r="E12" s="19" t="str">
        <f>IF(AND(YEAR(ЯнвВс1+36)=Год,MONTH(ЯнвВс1+36)=1),ЯнвВс1+36, "")</f>
        <v/>
      </c>
      <c r="F12" s="19" t="str">
        <f>IF(AND(YEAR(ЯнвВс1+37)=Год,MONTH(ЯнвВс1+37)=1),ЯнвВс1+37, "")</f>
        <v/>
      </c>
      <c r="G12" s="19" t="str">
        <f>IF(AND(YEAR(ЯнвВс1+38)=Год,MONTH(ЯнвВс1+38)=1),ЯнвВс1+38, "")</f>
        <v/>
      </c>
      <c r="H12" s="19" t="str">
        <f>IF(AND(YEAR(ЯнвВс1+39)=Год,MONTH(ЯнвВс1+39)=1),ЯнвВс1+39, "")</f>
        <v/>
      </c>
      <c r="I12" s="19" t="str">
        <f>IF(AND(YEAR(ЯнвВс1+40)=Год,MONTH(ЯнвВс1+40)=1),ЯнвВс1+40, "")</f>
        <v/>
      </c>
      <c r="J12" s="19" t="str">
        <f>IF(AND(YEAR(ЯнвВс1+41)=Год,MONTH(ЯнвВс1+41)=1),ЯнвВс1+41, "")</f>
        <v/>
      </c>
      <c r="K12" s="23"/>
      <c r="L12" s="19" t="str">
        <f>IF(AND(YEAR(ФевВс1+35)=Год,MONTH(ФевВс1+35)=2),ФевВс1+35, "")</f>
        <v/>
      </c>
      <c r="M12" s="19" t="str">
        <f>IF(AND(YEAR(ФевВс1+36)=Год,MONTH(ФевВс1+36)=2),ФевВс1+36, "")</f>
        <v/>
      </c>
      <c r="N12" s="19" t="str">
        <f>IF(AND(YEAR(ФевВс1+37)=Год,MONTH(ФевВс1+37)=2),ФевВс1+37, "")</f>
        <v/>
      </c>
      <c r="O12" s="19" t="str">
        <f>IF(AND(YEAR(ФевВс1+38)=Год,MONTH(ФевВс1+38)=2),ФевВс1+38, "")</f>
        <v/>
      </c>
      <c r="P12" s="19" t="str">
        <f>IF(AND(YEAR(ФевВс1+39)=Год,MONTH(ФевВс1+39)=2),ФевВс1+39, "")</f>
        <v/>
      </c>
      <c r="Q12" s="19" t="str">
        <f>IF(AND(YEAR(ФевВс1+40)=Год,MONTH(ФевВс1+40)=2),ФевВс1+40, "")</f>
        <v/>
      </c>
      <c r="R12" s="19" t="str">
        <f>IF(AND(YEAR(ФевВс1+41)=Год,MONTH(ФевВс1+41)=2),ФевВс1+41, "")</f>
        <v/>
      </c>
      <c r="S12" s="23"/>
      <c r="T12" s="19" t="str">
        <f>IF(AND(YEAR(МарВс1+35)=Год,MONTH(МарВс1+35)=3),МарВс1+35, "")</f>
        <v/>
      </c>
      <c r="U12" s="19" t="str">
        <f>IF(AND(YEAR(МарВс1+36)=Год,MONTH(МарВс1+36)=3),МарВс1+36, "")</f>
        <v/>
      </c>
      <c r="V12" s="19" t="str">
        <f>IF(AND(YEAR(МарВс1+37)=Год,MONTH(МарВс1+37)=3),МарВс1+37, "")</f>
        <v/>
      </c>
      <c r="W12" s="19" t="str">
        <f>IF(AND(YEAR(МарВс1+38)=Год,MONTH(МарВс1+38)=3),МарВс1+38, "")</f>
        <v/>
      </c>
      <c r="X12" s="19" t="str">
        <f>IF(AND(YEAR(МарВс1+39)=Год,MONTH(МарВс1+39)=3),МарВс1+39, "")</f>
        <v/>
      </c>
      <c r="Y12" s="19" t="str">
        <f>IF(AND(YEAR(МарВс1+40)=Год,MONTH(МарВс1+40)=3),МарВс1+40, "")</f>
        <v/>
      </c>
      <c r="Z12" s="19" t="str">
        <f>IF(AND(YEAR(МарВс1+41)=Год,MONTH(МарВс1+41)=3),МарВс1+41, "")</f>
        <v/>
      </c>
      <c r="AA12" s="23"/>
      <c r="AB12" s="19" t="str">
        <f>IF(AND(YEAR(АпрВс1+35)=Год,MONTH(АпрВс1+35)=4),АпрВс1+35, "")</f>
        <v/>
      </c>
      <c r="AC12" s="19" t="str">
        <f>IF(AND(YEAR(АпрВс1+36)=Год,MONTH(АпрВс1+36)=4),АпрВс1+36, "")</f>
        <v/>
      </c>
      <c r="AD12" s="19" t="str">
        <f>IF(AND(YEAR(АпрВс1+37)=Год,MONTH(АпрВс1+37)=4),АпрВс1+37, "")</f>
        <v/>
      </c>
      <c r="AE12" s="19" t="str">
        <f>IF(AND(YEAR(АпрВс1+38)=Год,MONTH(АпрВс1+38)=4),АпрВс1+38, "")</f>
        <v/>
      </c>
      <c r="AF12" s="19" t="str">
        <f>IF(AND(YEAR(АпрВс1+39)=Год,MONTH(АпрВс1+39)=4),АпрВс1+39, "")</f>
        <v/>
      </c>
      <c r="AG12" s="19" t="str">
        <f>IF(AND(YEAR(АпрВс1+40)=Год,MONTH(АпрВс1+40)=4),АпрВс1+40, "")</f>
        <v/>
      </c>
      <c r="AH12" s="19" t="str">
        <f>IF(AND(YEAR(АпрВс1+41)=Год,MONTH(АпрВс1+41)=4),АпрВс1+41, "")</f>
        <v/>
      </c>
      <c r="AI12" s="24"/>
      <c r="AJ12" s="24"/>
    </row>
    <row r="13" spans="2:74" ht="9.9499999999999993" customHeight="1" x14ac:dyDescent="0.25">
      <c r="C13" s="6"/>
      <c r="D13" s="7"/>
      <c r="E13" s="7"/>
      <c r="F13" s="7"/>
      <c r="G13" s="7"/>
      <c r="H13" s="7"/>
      <c r="I13" s="7"/>
      <c r="J13" s="7"/>
      <c r="K13" s="23"/>
      <c r="L13" s="7"/>
      <c r="M13" s="7"/>
      <c r="N13" s="7"/>
      <c r="O13" s="7"/>
      <c r="P13" s="7"/>
      <c r="Q13" s="7"/>
      <c r="R13" s="7"/>
      <c r="S13" s="23"/>
      <c r="T13" s="20"/>
      <c r="U13" s="20"/>
      <c r="V13" s="20"/>
      <c r="W13" s="20"/>
      <c r="X13" s="20"/>
      <c r="Y13" s="20"/>
      <c r="Z13" s="20"/>
      <c r="AA13" s="23"/>
      <c r="AB13" s="7"/>
      <c r="AC13" s="7"/>
      <c r="AD13" s="7"/>
      <c r="AE13" s="7"/>
      <c r="AF13" s="7"/>
      <c r="AG13" s="7"/>
      <c r="AH13" s="7"/>
      <c r="AI13" s="23"/>
      <c r="AJ13" s="24"/>
    </row>
    <row r="14" spans="2:74" s="3" customFormat="1" ht="24" customHeight="1" x14ac:dyDescent="0.35">
      <c r="D14" s="30" t="s">
        <v>2</v>
      </c>
      <c r="E14" s="30"/>
      <c r="F14" s="30"/>
      <c r="G14" s="30"/>
      <c r="H14" s="30"/>
      <c r="I14" s="30"/>
      <c r="J14" s="30"/>
      <c r="K14" s="22"/>
      <c r="L14" s="30" t="s">
        <v>10</v>
      </c>
      <c r="M14" s="30"/>
      <c r="N14" s="30"/>
      <c r="O14" s="30"/>
      <c r="P14" s="30"/>
      <c r="Q14" s="30"/>
      <c r="R14" s="30"/>
      <c r="S14" s="22"/>
      <c r="T14" s="30" t="s">
        <v>13</v>
      </c>
      <c r="U14" s="30"/>
      <c r="V14" s="30"/>
      <c r="W14" s="30"/>
      <c r="X14" s="30"/>
      <c r="Y14" s="30"/>
      <c r="Z14" s="30"/>
      <c r="AA14" s="22"/>
      <c r="AB14" s="30" t="s">
        <v>16</v>
      </c>
      <c r="AC14" s="30"/>
      <c r="AD14" s="30"/>
      <c r="AE14" s="30"/>
      <c r="AF14" s="30"/>
      <c r="AG14" s="30"/>
      <c r="AH14" s="30"/>
      <c r="AI14" s="25"/>
      <c r="AJ14" s="25"/>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2:74" ht="12.95" customHeight="1" x14ac:dyDescent="0.25">
      <c r="C15" s="4"/>
      <c r="D15" s="5" t="s">
        <v>1</v>
      </c>
      <c r="E15" s="5" t="s">
        <v>4</v>
      </c>
      <c r="F15" s="5" t="s">
        <v>5</v>
      </c>
      <c r="G15" s="5" t="s">
        <v>6</v>
      </c>
      <c r="H15" s="5" t="s">
        <v>7</v>
      </c>
      <c r="I15" s="5" t="s">
        <v>8</v>
      </c>
      <c r="J15" s="1" t="s">
        <v>18</v>
      </c>
      <c r="K15" s="23"/>
      <c r="L15" s="5" t="s">
        <v>1</v>
      </c>
      <c r="M15" s="5" t="s">
        <v>4</v>
      </c>
      <c r="N15" s="5" t="s">
        <v>5</v>
      </c>
      <c r="O15" s="5" t="s">
        <v>6</v>
      </c>
      <c r="P15" s="5" t="s">
        <v>7</v>
      </c>
      <c r="Q15" s="5" t="s">
        <v>8</v>
      </c>
      <c r="R15" s="1" t="s">
        <v>18</v>
      </c>
      <c r="S15" s="23"/>
      <c r="T15" s="5" t="s">
        <v>1</v>
      </c>
      <c r="U15" s="5" t="s">
        <v>4</v>
      </c>
      <c r="V15" s="5" t="s">
        <v>5</v>
      </c>
      <c r="W15" s="5" t="s">
        <v>6</v>
      </c>
      <c r="X15" s="5" t="s">
        <v>7</v>
      </c>
      <c r="Y15" s="5" t="s">
        <v>8</v>
      </c>
      <c r="Z15" s="1" t="s">
        <v>18</v>
      </c>
      <c r="AA15" s="23"/>
      <c r="AB15" s="5" t="s">
        <v>1</v>
      </c>
      <c r="AC15" s="5" t="s">
        <v>4</v>
      </c>
      <c r="AD15" s="5" t="s">
        <v>5</v>
      </c>
      <c r="AE15" s="5" t="s">
        <v>6</v>
      </c>
      <c r="AF15" s="5" t="s">
        <v>7</v>
      </c>
      <c r="AG15" s="5" t="s">
        <v>8</v>
      </c>
      <c r="AH15" s="1" t="s">
        <v>18</v>
      </c>
      <c r="AI15" s="24"/>
      <c r="AJ15" s="24"/>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4" ht="12.95" customHeight="1" x14ac:dyDescent="0.25">
      <c r="D16" s="19" t="str">
        <f>IF(AND(YEAR(МайВс1)=Год,MONTH(МайВс1)=5),МайВс1, "")</f>
        <v/>
      </c>
      <c r="E16" s="19" t="str">
        <f>IF(AND(YEAR(МайВс1+1)=Год,MONTH(МайВс1+1)=5),МайВс1+1, "")</f>
        <v/>
      </c>
      <c r="F16" s="19" t="str">
        <f>IF(AND(YEAR(МайВс1+2)=Год,MONTH(МайВс1+2)=5),МайВс1+2, "")</f>
        <v/>
      </c>
      <c r="G16" s="19" t="str">
        <f>IF(AND(YEAR(МайВс1+3)=Год,MONTH(МайВс1+3)=5),МайВс1+3, "")</f>
        <v/>
      </c>
      <c r="H16" s="19" t="str">
        <f>IF(AND(YEAR(МайВс1+4)=Год,MONTH(МайВс1+4)=5),МайВс1+4, "")</f>
        <v/>
      </c>
      <c r="I16" s="19">
        <f>IF(AND(YEAR(МайВс1+5)=Год,MONTH(МайВс1+5)=5),МайВс1+5, "")</f>
        <v>44317</v>
      </c>
      <c r="J16" s="19">
        <f>IF(AND(YEAR(МайВс1+6)=Год,MONTH(МайВс1+6)=5),МайВс1+6, "")</f>
        <v>44318</v>
      </c>
      <c r="K16" s="23"/>
      <c r="L16" s="19" t="str">
        <f>IF(AND(YEAR(ИюнВс1)=Год,MONTH(ИюнВс1)=6),ИюнВс1, "")</f>
        <v/>
      </c>
      <c r="M16" s="19">
        <f>IF(AND(YEAR(ИюнВс1+1)=Год,MONTH(ИюнВс1+1)=6),ИюнВс1+1, "")</f>
        <v>44348</v>
      </c>
      <c r="N16" s="19">
        <f>IF(AND(YEAR(ИюнВс1+2)=Год,MONTH(ИюнВс1+2)=6),ИюнВс1+2, "")</f>
        <v>44349</v>
      </c>
      <c r="O16" s="19">
        <f>IF(AND(YEAR(ИюнВс1+3)=Год,MONTH(ИюнВс1+3)=6),ИюнВс1+3, "")</f>
        <v>44350</v>
      </c>
      <c r="P16" s="19">
        <f>IF(AND(YEAR(ИюнВс1+4)=Год,MONTH(ИюнВс1+4)=6),ИюнВс1+4, "")</f>
        <v>44351</v>
      </c>
      <c r="Q16" s="19">
        <f>IF(AND(YEAR(ИюнВс1+5)=Год,MONTH(ИюнВс1+5)=6),ИюнВс1+5, "")</f>
        <v>44352</v>
      </c>
      <c r="R16" s="19">
        <f>IF(AND(YEAR(ИюнВс1+6)=Год,MONTH(ИюнВс1+6)=6),ИюнВс1+6, "")</f>
        <v>44353</v>
      </c>
      <c r="S16" s="23"/>
      <c r="T16" s="21" t="str">
        <f>IF(AND(YEAR(ИюлВс1)=Год,MONTH(ИюлВс1)=7),ИюлВс1, "")</f>
        <v/>
      </c>
      <c r="U16" s="21" t="str">
        <f>IF(AND(YEAR(ИюлВс1+1)=Год,MONTH(ИюлВс1+1)=7),ИюлВс1+1, "")</f>
        <v/>
      </c>
      <c r="V16" s="21" t="str">
        <f>IF(AND(YEAR(ИюлВс1+2)=Год,MONTH(ИюлВс1+2)=7),ИюлВс1+2, "")</f>
        <v/>
      </c>
      <c r="W16" s="21">
        <f>IF(AND(YEAR(ИюлВс1+3)=Год,MONTH(ИюлВс1+3)=7),ИюлВс1+3, "")</f>
        <v>44378</v>
      </c>
      <c r="X16" s="21">
        <f>IF(AND(YEAR(ИюлВс1+4)=Год,MONTH(ИюлВс1+4)=7),ИюлВс1+4, "")</f>
        <v>44379</v>
      </c>
      <c r="Y16" s="21">
        <f>IF(AND(YEAR(ИюлВс1+5)=Год,MONTH(ИюлВс1+5)=7),ИюлВс1+5, "")</f>
        <v>44380</v>
      </c>
      <c r="Z16" s="21">
        <f>IF(AND(YEAR(ИюлВс1+6)=Год,MONTH(ИюлВс1+6)=7),ИюлВс1+6, "")</f>
        <v>44381</v>
      </c>
      <c r="AA16" s="23"/>
      <c r="AB16" s="21" t="str">
        <f>IF(AND(YEAR(АвгВс1)=Год,MONTH(АвгВс1)=8),АвгВс1, "")</f>
        <v/>
      </c>
      <c r="AC16" s="21" t="str">
        <f>IF(AND(YEAR(АвгВс1+1)=Год,MONTH(АвгВс1+1)=8),АвгВс1+1, "")</f>
        <v/>
      </c>
      <c r="AD16" s="21" t="str">
        <f>IF(AND(YEAR(АвгВс1+2)=Год,MONTH(АвгВс1+2)=8),АвгВс1+2, "")</f>
        <v/>
      </c>
      <c r="AE16" s="21" t="str">
        <f>IF(AND(YEAR(АвгВс1+3)=Год,MONTH(АвгВс1+3)=8),АвгВс1+3, "")</f>
        <v/>
      </c>
      <c r="AF16" s="21" t="str">
        <f>IF(AND(YEAR(АвгВс1+4)=Год,MONTH(АвгВс1+4)=8),АвгВс1+4, "")</f>
        <v/>
      </c>
      <c r="AG16" s="21" t="str">
        <f>IF(AND(YEAR(АвгВс1+5)=Год,MONTH(АвгВс1+5)=8),АвгВс1+5, "")</f>
        <v/>
      </c>
      <c r="AH16" s="21">
        <f>IF(AND(YEAR(АвгВс1+6)=Год,MONTH(АвгВс1+6)=8),АвгВс1+6, "")</f>
        <v>44409</v>
      </c>
      <c r="AI16" s="24"/>
      <c r="AJ16" s="24"/>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80" ht="12.95" customHeight="1" x14ac:dyDescent="0.25">
      <c r="D17" s="19">
        <f>IF(AND(YEAR(МайВс1+7)=Год,MONTH(МайВс1+7)=5),МайВс1+7, "")</f>
        <v>44319</v>
      </c>
      <c r="E17" s="19">
        <f>IF(AND(YEAR(МайВс1+8)=Год,MONTH(МайВс1+8)=5),МайВс1+8, "")</f>
        <v>44320</v>
      </c>
      <c r="F17" s="19">
        <f>IF(AND(YEAR(МайВс1+9)=Год,MONTH(МайВс1+9)=5),МайВс1+9, "")</f>
        <v>44321</v>
      </c>
      <c r="G17" s="19">
        <f>IF(AND(YEAR(МайВс1+10)=Год,MONTH(МайВс1+10)=5),МайВс1+10, "")</f>
        <v>44322</v>
      </c>
      <c r="H17" s="19">
        <f>IF(AND(YEAR(МайВс1+11)=Год,MONTH(МайВс1+11)=5),МайВс1+11, "")</f>
        <v>44323</v>
      </c>
      <c r="I17" s="19">
        <f>IF(AND(YEAR(МайВс1+12)=Год,MONTH(МайВс1+12)=5),МайВс1+12, "")</f>
        <v>44324</v>
      </c>
      <c r="J17" s="19">
        <f>IF(AND(YEAR(МайВс1+13)=Год,MONTH(МайВс1+13)=5),МайВс1+13, "")</f>
        <v>44325</v>
      </c>
      <c r="K17" s="23"/>
      <c r="L17" s="19">
        <f>IF(AND(YEAR(ИюнВс1+7)=Год,MONTH(ИюнВс1+7)=6),ИюнВс1+7, "")</f>
        <v>44354</v>
      </c>
      <c r="M17" s="19">
        <f>IF(AND(YEAR(ИюнВс1+8)=Год,MONTH(ИюнВс1+8)=6),ИюнВс1+8, "")</f>
        <v>44355</v>
      </c>
      <c r="N17" s="19">
        <f>IF(AND(YEAR(ИюнВс1+9)=Год,MONTH(ИюнВс1+9)=6),ИюнВс1+9, "")</f>
        <v>44356</v>
      </c>
      <c r="O17" s="19">
        <f>IF(AND(YEAR(ИюнВс1+10)=Год,MONTH(ИюнВс1+10)=6),ИюнВс1+10, "")</f>
        <v>44357</v>
      </c>
      <c r="P17" s="19">
        <f>IF(AND(YEAR(ИюнВс1+11)=Год,MONTH(ИюнВс1+11)=6),ИюнВс1+11, "")</f>
        <v>44358</v>
      </c>
      <c r="Q17" s="19">
        <f>IF(AND(YEAR(ИюнВс1+12)=Год,MONTH(ИюнВс1+12)=6),ИюнВс1+12, "")</f>
        <v>44359</v>
      </c>
      <c r="R17" s="19">
        <f>IF(AND(YEAR(ИюнВс1+13)=Год,MONTH(ИюнВс1+13)=6),ИюнВс1+13, "")</f>
        <v>44360</v>
      </c>
      <c r="S17" s="23"/>
      <c r="T17" s="21">
        <f>IF(AND(YEAR(ИюлВс1+7)=Год,MONTH(ИюлВс1+7)=7),ИюлВс1+7, "")</f>
        <v>44382</v>
      </c>
      <c r="U17" s="21">
        <f>IF(AND(YEAR(ИюлВс1+8)=Год,MONTH(ИюлВс1+8)=7),ИюлВс1+8, "")</f>
        <v>44383</v>
      </c>
      <c r="V17" s="21">
        <f>IF(AND(YEAR(ИюлВс1+9)=Год,MONTH(ИюлВс1+9)=7),ИюлВс1+9, "")</f>
        <v>44384</v>
      </c>
      <c r="W17" s="21">
        <f>IF(AND(YEAR(ИюлВс1+10)=Год,MONTH(ИюлВс1+10)=7),ИюлВс1+10, "")</f>
        <v>44385</v>
      </c>
      <c r="X17" s="21">
        <f>IF(AND(YEAR(ИюлВс1+11)=Год,MONTH(ИюлВс1+11)=7),ИюлВс1+11, "")</f>
        <v>44386</v>
      </c>
      <c r="Y17" s="21">
        <f>IF(AND(YEAR(ИюлВс1+12)=Год,MONTH(ИюлВс1+12)=7),ИюлВс1+12, "")</f>
        <v>44387</v>
      </c>
      <c r="Z17" s="21">
        <f>IF(AND(YEAR(ИюлВс1+13)=Год,MONTH(ИюлВс1+13)=7),ИюлВс1+13, "")</f>
        <v>44388</v>
      </c>
      <c r="AA17" s="23"/>
      <c r="AB17" s="21">
        <f>IF(AND(YEAR(АвгВс1+7)=Год,MONTH(АвгВс1+7)=8),АвгВс1+7, "")</f>
        <v>44410</v>
      </c>
      <c r="AC17" s="21">
        <f>IF(AND(YEAR(АвгВс1+8)=Год,MONTH(АвгВс1+8)=8),АвгВс1+8, "")</f>
        <v>44411</v>
      </c>
      <c r="AD17" s="21">
        <f>IF(AND(YEAR(АвгВс1+9)=Год,MONTH(АвгВс1+9)=8),АвгВс1+9, "")</f>
        <v>44412</v>
      </c>
      <c r="AE17" s="21">
        <f>IF(AND(YEAR(АвгВс1+10)=Год,MONTH(АвгВс1+10)=8),АвгВс1+10, "")</f>
        <v>44413</v>
      </c>
      <c r="AF17" s="21">
        <f>IF(AND(YEAR(АвгВс1+11)=Год,MONTH(АвгВс1+11)=8),АвгВс1+11, "")</f>
        <v>44414</v>
      </c>
      <c r="AG17" s="21">
        <f>IF(AND(YEAR(АвгВс1+12)=Год,MONTH(АвгВс1+12)=8),АвгВс1+12, "")</f>
        <v>44415</v>
      </c>
      <c r="AH17" s="21">
        <f>IF(AND(YEAR(АвгВс1+13)=Год,MONTH(АвгВс1+13)=8),АвгВс1+13, "")</f>
        <v>44416</v>
      </c>
      <c r="AI17" s="24"/>
      <c r="AJ17" s="24"/>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80" ht="12.95" customHeight="1" x14ac:dyDescent="0.25">
      <c r="D18" s="19">
        <f>IF(AND(YEAR(МайВс1+14)=Год,MONTH(МайВс1+14)=5),МайВс1+14, "")</f>
        <v>44326</v>
      </c>
      <c r="E18" s="19">
        <f>IF(AND(YEAR(МайВс1+15)=Год,MONTH(МайВс1+15)=5),МайВс1+15, "")</f>
        <v>44327</v>
      </c>
      <c r="F18" s="19">
        <f>IF(AND(YEAR(МайВс1+16)=Год,MONTH(МайВс1+16)=5),МайВс1+16, "")</f>
        <v>44328</v>
      </c>
      <c r="G18" s="19">
        <f>IF(AND(YEAR(МайВс1+17)=Год,MONTH(МайВс1+17)=5),МайВс1+17, "")</f>
        <v>44329</v>
      </c>
      <c r="H18" s="19">
        <f>IF(AND(YEAR(МайВс1+18)=Год,MONTH(МайВс1+18)=5),МайВс1+18, "")</f>
        <v>44330</v>
      </c>
      <c r="I18" s="19">
        <f>IF(AND(YEAR(МайВс1+19)=Год,MONTH(МайВс1+19)=5),МайВс1+19, "")</f>
        <v>44331</v>
      </c>
      <c r="J18" s="19">
        <f>IF(AND(YEAR(МайВс1+20)=Год,MONTH(МайВс1+20)=5),МайВс1+20, "")</f>
        <v>44332</v>
      </c>
      <c r="K18" s="23"/>
      <c r="L18" s="19">
        <f>IF(AND(YEAR(ИюнВс1+14)=Год,MONTH(ИюнВс1+14)=6),ИюнВс1+14, "")</f>
        <v>44361</v>
      </c>
      <c r="M18" s="19">
        <f>IF(AND(YEAR(ИюнВс1+15)=Год,MONTH(ИюнВс1+15)=6),ИюнВс1+15, "")</f>
        <v>44362</v>
      </c>
      <c r="N18" s="19">
        <f>IF(AND(YEAR(ИюнВс1+16)=Год,MONTH(ИюнВс1+16)=6),ИюнВс1+16, "")</f>
        <v>44363</v>
      </c>
      <c r="O18" s="19">
        <f>IF(AND(YEAR(ИюнВс1+17)=Год,MONTH(ИюнВс1+17)=6),ИюнВс1+17, "")</f>
        <v>44364</v>
      </c>
      <c r="P18" s="19">
        <f>IF(AND(YEAR(ИюнВс1+18)=Год,MONTH(ИюнВс1+18)=6),ИюнВс1+18, "")</f>
        <v>44365</v>
      </c>
      <c r="Q18" s="19">
        <f>IF(AND(YEAR(ИюнВс1+19)=Год,MONTH(ИюнВс1+19)=6),ИюнВс1+19, "")</f>
        <v>44366</v>
      </c>
      <c r="R18" s="19">
        <f>IF(AND(YEAR(ИюнВс1+20)=Год,MONTH(ИюнВс1+20)=6),ИюнВс1+20, "")</f>
        <v>44367</v>
      </c>
      <c r="S18" s="23"/>
      <c r="T18" s="21">
        <f>IF(AND(YEAR(ИюлВс1+14)=Год,MONTH(ИюлВс1+14)=7),ИюлВс1+14, "")</f>
        <v>44389</v>
      </c>
      <c r="U18" s="21">
        <f>IF(AND(YEAR(ИюлВс1+15)=Год,MONTH(ИюлВс1+15)=7),ИюлВс1+15, "")</f>
        <v>44390</v>
      </c>
      <c r="V18" s="21">
        <f>IF(AND(YEAR(ИюлВс1+16)=Год,MONTH(ИюлВс1+16)=7),ИюлВс1+16, "")</f>
        <v>44391</v>
      </c>
      <c r="W18" s="21">
        <f>IF(AND(YEAR(ИюлВс1+17)=Год,MONTH(ИюлВс1+17)=7),ИюлВс1+17, "")</f>
        <v>44392</v>
      </c>
      <c r="X18" s="21">
        <f>IF(AND(YEAR(ИюлВс1+18)=Год,MONTH(ИюлВс1+18)=7),ИюлВс1+18, "")</f>
        <v>44393</v>
      </c>
      <c r="Y18" s="21">
        <f>IF(AND(YEAR(ИюлВс1+19)=Год,MONTH(ИюлВс1+19)=7),ИюлВс1+19, "")</f>
        <v>44394</v>
      </c>
      <c r="Z18" s="21">
        <f>IF(AND(YEAR(ИюлВс1+20)=Год,MONTH(ИюлВс1+20)=7),ИюлВс1+20, "")</f>
        <v>44395</v>
      </c>
      <c r="AA18" s="23"/>
      <c r="AB18" s="21">
        <f>IF(AND(YEAR(АвгВс1+14)=Год,MONTH(АвгВс1+14)=8),АвгВс1+14, "")</f>
        <v>44417</v>
      </c>
      <c r="AC18" s="21">
        <f>IF(AND(YEAR(АвгВс1+15)=Год,MONTH(АвгВс1+15)=8),АвгВс1+15, "")</f>
        <v>44418</v>
      </c>
      <c r="AD18" s="21">
        <f>IF(AND(YEAR(АвгВс1+16)=Год,MONTH(АвгВс1+16)=8),АвгВс1+16, "")</f>
        <v>44419</v>
      </c>
      <c r="AE18" s="21">
        <f>IF(AND(YEAR(АвгВс1+17)=Год,MONTH(АвгВс1+17)=8),АвгВс1+17, "")</f>
        <v>44420</v>
      </c>
      <c r="AF18" s="21">
        <f>IF(AND(YEAR(АвгВс1+18)=Год,MONTH(АвгВс1+18)=8),АвгВс1+18, "")</f>
        <v>44421</v>
      </c>
      <c r="AG18" s="21">
        <f>IF(AND(YEAR(АвгВс1+19)=Год,MONTH(АвгВс1+19)=8),АвгВс1+19, "")</f>
        <v>44422</v>
      </c>
      <c r="AH18" s="21">
        <f>IF(AND(YEAR(АвгВс1+20)=Год,MONTH(АвгВс1+20)=8),АвгВс1+20, "")</f>
        <v>44423</v>
      </c>
      <c r="AI18" s="24"/>
      <c r="AJ18" s="24"/>
    </row>
    <row r="19" spans="2:80" ht="12.95" customHeight="1" x14ac:dyDescent="0.25">
      <c r="D19" s="19">
        <f>IF(AND(YEAR(МайВс1+21)=Год,MONTH(МайВс1+21)=5),МайВс1+21, "")</f>
        <v>44333</v>
      </c>
      <c r="E19" s="19">
        <f>IF(AND(YEAR(МайВс1+22)=Год,MONTH(МайВс1+22)=5),МайВс1+22, "")</f>
        <v>44334</v>
      </c>
      <c r="F19" s="19">
        <f>IF(AND(YEAR(МайВс1+23)=Год,MONTH(МайВс1+23)=5),МайВс1+23, "")</f>
        <v>44335</v>
      </c>
      <c r="G19" s="19">
        <f>IF(AND(YEAR(МайВс1+24)=Год,MONTH(МайВс1+24)=5),МайВс1+24, "")</f>
        <v>44336</v>
      </c>
      <c r="H19" s="19">
        <f>IF(AND(YEAR(МайВс1+25)=Год,MONTH(МайВс1+25)=5),МайВс1+25, "")</f>
        <v>44337</v>
      </c>
      <c r="I19" s="19">
        <f>IF(AND(YEAR(МайВс1+26)=Год,MONTH(МайВс1+26)=5),МайВс1+26, "")</f>
        <v>44338</v>
      </c>
      <c r="J19" s="19">
        <f>IF(AND(YEAR(МайВс1+27)=Год,MONTH(МайВс1+27)=5),МайВс1+27, "")</f>
        <v>44339</v>
      </c>
      <c r="K19" s="23"/>
      <c r="L19" s="19">
        <f>IF(AND(YEAR(ИюнВс1+21)=Год,MONTH(ИюнВс1+21)=6),ИюнВс1+21, "")</f>
        <v>44368</v>
      </c>
      <c r="M19" s="19">
        <f>IF(AND(YEAR(ИюнВс1+22)=Год,MONTH(ИюнВс1+22)=6),ИюнВс1+22, "")</f>
        <v>44369</v>
      </c>
      <c r="N19" s="19">
        <f>IF(AND(YEAR(ИюнВс1+23)=Год,MONTH(ИюнВс1+23)=6),ИюнВс1+23, "")</f>
        <v>44370</v>
      </c>
      <c r="O19" s="19">
        <f>IF(AND(YEAR(ИюнВс1+24)=Год,MONTH(ИюнВс1+24)=6),ИюнВс1+24, "")</f>
        <v>44371</v>
      </c>
      <c r="P19" s="19">
        <f>IF(AND(YEAR(ИюнВс1+25)=Год,MONTH(ИюнВс1+25)=6),ИюнВс1+25, "")</f>
        <v>44372</v>
      </c>
      <c r="Q19" s="19">
        <f>IF(AND(YEAR(ИюнВс1+26)=Год,MONTH(ИюнВс1+26)=6),ИюнВс1+26, "")</f>
        <v>44373</v>
      </c>
      <c r="R19" s="19">
        <f>IF(AND(YEAR(ИюнВс1+27)=Год,MONTH(ИюнВс1+27)=6),ИюнВс1+27, "")</f>
        <v>44374</v>
      </c>
      <c r="S19" s="23"/>
      <c r="T19" s="21">
        <f>IF(AND(YEAR(ИюлВс1+21)=Год,MONTH(ИюлВс1+21)=7),ИюлВс1+21, "")</f>
        <v>44396</v>
      </c>
      <c r="U19" s="21">
        <f>IF(AND(YEAR(ИюлВс1+22)=Год,MONTH(ИюлВс1+22)=7),ИюлВс1+22, "")</f>
        <v>44397</v>
      </c>
      <c r="V19" s="21">
        <f>IF(AND(YEAR(ИюлВс1+23)=Год,MONTH(ИюлВс1+23)=7),ИюлВс1+23, "")</f>
        <v>44398</v>
      </c>
      <c r="W19" s="21">
        <f>IF(AND(YEAR(ИюлВс1+24)=Год,MONTH(ИюлВс1+24)=7),ИюлВс1+24, "")</f>
        <v>44399</v>
      </c>
      <c r="X19" s="21">
        <f>IF(AND(YEAR(ИюлВс1+25)=Год,MONTH(ИюлВс1+25)=7),ИюлВс1+25, "")</f>
        <v>44400</v>
      </c>
      <c r="Y19" s="21">
        <f>IF(AND(YEAR(ИюлВс1+26)=Год,MONTH(ИюлВс1+26)=7),ИюлВс1+26, "")</f>
        <v>44401</v>
      </c>
      <c r="Z19" s="21">
        <f>IF(AND(YEAR(ИюлВс1+27)=Год,MONTH(ИюлВс1+27)=7),ИюлВс1+27, "")</f>
        <v>44402</v>
      </c>
      <c r="AA19" s="23"/>
      <c r="AB19" s="21">
        <f>IF(AND(YEAR(АвгВс1+21)=Год,MONTH(АвгВс1+21)=8),АвгВс1+21, "")</f>
        <v>44424</v>
      </c>
      <c r="AC19" s="21">
        <f>IF(AND(YEAR(АвгВс1+22)=Год,MONTH(АвгВс1+22)=8),АвгВс1+22, "")</f>
        <v>44425</v>
      </c>
      <c r="AD19" s="21">
        <f>IF(AND(YEAR(АвгВс1+23)=Год,MONTH(АвгВс1+23)=8),АвгВс1+23, "")</f>
        <v>44426</v>
      </c>
      <c r="AE19" s="21">
        <f>IF(AND(YEAR(АвгВс1+24)=Год,MONTH(АвгВс1+24)=8),АвгВс1+24, "")</f>
        <v>44427</v>
      </c>
      <c r="AF19" s="21">
        <f>IF(AND(YEAR(АвгВс1+25)=Год,MONTH(АвгВс1+25)=8),АвгВс1+25, "")</f>
        <v>44428</v>
      </c>
      <c r="AG19" s="21">
        <f>IF(AND(YEAR(АвгВс1+26)=Год,MONTH(АвгВс1+26)=8),АвгВс1+26, "")</f>
        <v>44429</v>
      </c>
      <c r="AH19" s="21">
        <f>IF(AND(YEAR(АвгВс1+27)=Год,MONTH(АвгВс1+27)=8),АвгВс1+27, "")</f>
        <v>44430</v>
      </c>
      <c r="AI19" s="24"/>
      <c r="AJ19" s="24"/>
    </row>
    <row r="20" spans="2:80" ht="12.95" customHeight="1" x14ac:dyDescent="0.25">
      <c r="D20" s="19">
        <f>IF(AND(YEAR(МайВс1+28)=Год,MONTH(МайВс1+28)=5),МайВс1+28, "")</f>
        <v>44340</v>
      </c>
      <c r="E20" s="19">
        <f>IF(AND(YEAR(МайВс1+29)=Год,MONTH(МайВс1+29)=5),МайВс1+29, "")</f>
        <v>44341</v>
      </c>
      <c r="F20" s="19">
        <f>IF(AND(YEAR(МайВс1+30)=Год,MONTH(МайВс1+30)=5),МайВс1+30, "")</f>
        <v>44342</v>
      </c>
      <c r="G20" s="19">
        <f>IF(AND(YEAR(МайВс1+31)=Год,MONTH(МайВс1+31)=5),МайВс1+31, "")</f>
        <v>44343</v>
      </c>
      <c r="H20" s="19">
        <f>IF(AND(YEAR(МайВс1+32)=Год,MONTH(МайВс1+32)=5),МайВс1+32, "")</f>
        <v>44344</v>
      </c>
      <c r="I20" s="19">
        <f>IF(AND(YEAR(МайВс1+33)=Год,MONTH(МайВс1+33)=5),МайВс1+33, "")</f>
        <v>44345</v>
      </c>
      <c r="J20" s="19">
        <f>IF(AND(YEAR(МайВс1+34)=Год,MONTH(МайВс1+34)=5),МайВс1+34, "")</f>
        <v>44346</v>
      </c>
      <c r="K20" s="23"/>
      <c r="L20" s="19">
        <f>IF(AND(YEAR(ИюнВс1+28)=Год,MONTH(ИюнВс1+28)=6),ИюнВс1+28, "")</f>
        <v>44375</v>
      </c>
      <c r="M20" s="19">
        <f>IF(AND(YEAR(ИюнВс1+29)=Год,MONTH(ИюнВс1+29)=6),ИюнВс1+29, "")</f>
        <v>44376</v>
      </c>
      <c r="N20" s="19">
        <f>IF(AND(YEAR(ИюнВс1+30)=Год,MONTH(ИюнВс1+30)=6),ИюнВс1+30, "")</f>
        <v>44377</v>
      </c>
      <c r="O20" s="19" t="str">
        <f>IF(AND(YEAR(ИюнВс1+31)=Год,MONTH(ИюнВс1+31)=6),ИюнВс1+31, "")</f>
        <v/>
      </c>
      <c r="P20" s="19" t="str">
        <f>IF(AND(YEAR(ИюнВс1+32)=Год,MONTH(ИюнВс1+32)=6),ИюнВс1+32, "")</f>
        <v/>
      </c>
      <c r="Q20" s="19" t="str">
        <f>IF(AND(YEAR(ИюнВс1+33)=Год,MONTH(ИюнВс1+33)=6),ИюнВс1+33, "")</f>
        <v/>
      </c>
      <c r="R20" s="19" t="str">
        <f>IF(AND(YEAR(ИюнВс1+34)=Год,MONTH(ИюнВс1+34)=6),ИюнВс1+34, "")</f>
        <v/>
      </c>
      <c r="S20" s="23"/>
      <c r="T20" s="21">
        <f>IF(AND(YEAR(ИюлВс1+28)=Год,MONTH(ИюлВс1+28)=7),ИюлВс1+28, "")</f>
        <v>44403</v>
      </c>
      <c r="U20" s="21">
        <f>IF(AND(YEAR(ИюлВс1+29)=Год,MONTH(ИюлВс1+29)=7),ИюлВс1+29, "")</f>
        <v>44404</v>
      </c>
      <c r="V20" s="21">
        <f>IF(AND(YEAR(ИюлВс1+30)=Год,MONTH(ИюлВс1+30)=7),ИюлВс1+30, "")</f>
        <v>44405</v>
      </c>
      <c r="W20" s="21">
        <f>IF(AND(YEAR(ИюлВс1+31)=Год,MONTH(ИюлВс1+31)=7),ИюлВс1+31, "")</f>
        <v>44406</v>
      </c>
      <c r="X20" s="21">
        <f>IF(AND(YEAR(ИюлВс1+32)=Год,MONTH(ИюлВс1+32)=7),ИюлВс1+32, "")</f>
        <v>44407</v>
      </c>
      <c r="Y20" s="21">
        <f>IF(AND(YEAR(ИюлВс1+33)=Год,MONTH(ИюлВс1+33)=7),ИюлВс1+33, "")</f>
        <v>44408</v>
      </c>
      <c r="Z20" s="21" t="str">
        <f>IF(AND(YEAR(ИюлВс1+34)=Год,MONTH(ИюлВс1+34)=7),ИюлВс1+34, "")</f>
        <v/>
      </c>
      <c r="AA20" s="23"/>
      <c r="AB20" s="21">
        <f>IF(AND(YEAR(АвгВс1+28)=Год,MONTH(АвгВс1+28)=8),АвгВс1+28, "")</f>
        <v>44431</v>
      </c>
      <c r="AC20" s="21">
        <f>IF(AND(YEAR(АвгВс1+29)=Год,MONTH(АвгВс1+29)=8),АвгВс1+29, "")</f>
        <v>44432</v>
      </c>
      <c r="AD20" s="21">
        <f>IF(AND(YEAR(АвгВс1+30)=Год,MONTH(АвгВс1+30)=8),АвгВс1+30, "")</f>
        <v>44433</v>
      </c>
      <c r="AE20" s="21">
        <f>IF(AND(YEAR(АвгВс1+31)=Год,MONTH(АвгВс1+31)=8),АвгВс1+31, "")</f>
        <v>44434</v>
      </c>
      <c r="AF20" s="21">
        <f>IF(AND(YEAR(АвгВс1+32)=Год,MONTH(АвгВс1+32)=8),АвгВс1+32, "")</f>
        <v>44435</v>
      </c>
      <c r="AG20" s="21">
        <f>IF(AND(YEAR(АвгВс1+33)=Год,MONTH(АвгВс1+33)=8),АвгВс1+33, "")</f>
        <v>44436</v>
      </c>
      <c r="AH20" s="21">
        <f>IF(AND(YEAR(АвгВс1+34)=Год,MONTH(АвгВс1+34)=8),АвгВс1+34, "")</f>
        <v>44437</v>
      </c>
      <c r="AI20" s="24"/>
      <c r="AJ20" s="24"/>
    </row>
    <row r="21" spans="2:80" ht="12.95" customHeight="1" x14ac:dyDescent="0.25">
      <c r="D21" s="19">
        <f>IF(AND(YEAR(МайВс1+35)=Год,MONTH(МайВс1+35)=5),МайВс1+35, "")</f>
        <v>44347</v>
      </c>
      <c r="E21" s="19" t="str">
        <f>IF(AND(YEAR(МайВс1+36)=Год,MONTH(МайВс1+36)=5),МайВс1+36, "")</f>
        <v/>
      </c>
      <c r="F21" s="19" t="str">
        <f>IF(AND(YEAR(МайВс1+37)=Год,MONTH(МайВс1+37)=5),МайВс1+37, "")</f>
        <v/>
      </c>
      <c r="G21" s="19" t="str">
        <f>IF(AND(YEAR(МайВс1+38)=Год,MONTH(МайВс1+38)=5),МайВс1+38, "")</f>
        <v/>
      </c>
      <c r="H21" s="19" t="str">
        <f>IF(AND(YEAR(МайВс1+39)=Год,MONTH(МайВс1+39)=5),МайВс1+39, "")</f>
        <v/>
      </c>
      <c r="I21" s="19" t="str">
        <f>IF(AND(YEAR(МайВс1+40)=Год,MONTH(МайВс1+40)=5),МайВс1+40, "")</f>
        <v/>
      </c>
      <c r="J21" s="19" t="str">
        <f>IF(AND(YEAR(МайВс1+41)=Год,MONTH(МайВс1+41)=5),МайВс1+41, "")</f>
        <v/>
      </c>
      <c r="K21" s="23"/>
      <c r="L21" s="19" t="str">
        <f>IF(AND(YEAR(ИюнВс1+35)=Год,MONTH(ИюнВс1+35)=6),ИюнВс1+35, "")</f>
        <v/>
      </c>
      <c r="M21" s="19" t="str">
        <f>IF(AND(YEAR(ИюнВс1+36)=Год,MONTH(ИюнВс1+36)=6),ИюнВс1+36, "")</f>
        <v/>
      </c>
      <c r="N21" s="19" t="str">
        <f>IF(AND(YEAR(ИюнВс1+37)=Год,MONTH(ИюнВс1+37)=6),ИюнВс1+37, "")</f>
        <v/>
      </c>
      <c r="O21" s="19" t="str">
        <f>IF(AND(YEAR(ИюнВс1+38)=Год,MONTH(ИюнВс1+38)=6),ИюнВс1+38, "")</f>
        <v/>
      </c>
      <c r="P21" s="19" t="str">
        <f>IF(AND(YEAR(ИюнВс1+39)=Год,MONTH(ИюнВс1+39)=6),ИюнВс1+39, "")</f>
        <v/>
      </c>
      <c r="Q21" s="19" t="str">
        <f>IF(AND(YEAR(ИюнВс1+40)=Год,MONTH(ИюнВс1+40)=6),ИюнВс1+40, "")</f>
        <v/>
      </c>
      <c r="R21" s="19" t="str">
        <f>IF(AND(YEAR(ИюнВс1+41)=Год,MONTH(ИюнВс1+41)=6),ИюнВс1+41, "")</f>
        <v/>
      </c>
      <c r="S21" s="23"/>
      <c r="T21" s="21" t="str">
        <f>IF(AND(YEAR(ИюлВс1+35)=Год,MONTH(ИюлВс1+35)=7),ИюлВс1+35, "")</f>
        <v/>
      </c>
      <c r="U21" s="21" t="str">
        <f>IF(AND(YEAR(ИюлВс1+36)=Год,MONTH(ИюлВс1+36)=7),ИюлВс1+36, "")</f>
        <v/>
      </c>
      <c r="V21" s="21" t="str">
        <f>IF(AND(YEAR(ИюлВс1+37)=Год,MONTH(ИюлВс1+37)=7),ИюлВс1+37, "")</f>
        <v/>
      </c>
      <c r="W21" s="21" t="str">
        <f>IF(AND(YEAR(ИюлВс1+38)=Год,MONTH(ИюлВс1+38)=7),ИюлВс1+38, "")</f>
        <v/>
      </c>
      <c r="X21" s="21" t="str">
        <f>IF(AND(YEAR(ИюлВс1+39)=Год,MONTH(ИюлВс1+39)=7),ИюлВс1+39, "")</f>
        <v/>
      </c>
      <c r="Y21" s="21" t="str">
        <f>IF(AND(YEAR(ИюлВс1+40)=Год,MONTH(ИюлВс1+40)=7),ИюлВс1+40, "")</f>
        <v/>
      </c>
      <c r="Z21" s="21" t="str">
        <f>IF(AND(YEAR(ИюлВс1+41)=Год,MONTH(ИюлВс1+41)=7),ИюлВс1+41, "")</f>
        <v/>
      </c>
      <c r="AA21" s="23"/>
      <c r="AB21" s="21">
        <f>IF(AND(YEAR(АвгВс1+35)=Год,MONTH(АвгВс1+35)=8),АвгВс1+35, "")</f>
        <v>44438</v>
      </c>
      <c r="AC21" s="21">
        <f>IF(AND(YEAR(АвгВс1+36)=Год,MONTH(АвгВс1+36)=8),АвгВс1+36, "")</f>
        <v>44439</v>
      </c>
      <c r="AD21" s="21" t="str">
        <f>IF(AND(YEAR(АвгВс1+37)=Год,MONTH(АвгВс1+37)=8),АвгВс1+37, "")</f>
        <v/>
      </c>
      <c r="AE21" s="21" t="str">
        <f>IF(AND(YEAR(АвгВс1+38)=Год,MONTH(АвгВс1+38)=8),АвгВс1+38, "")</f>
        <v/>
      </c>
      <c r="AF21" s="21" t="str">
        <f>IF(AND(YEAR(АвгВс1+39)=Год,MONTH(АвгВс1+39)=8),АвгВс1+39, "")</f>
        <v/>
      </c>
      <c r="AG21" s="21" t="str">
        <f>IF(AND(YEAR(АвгВс1+40)=Год,MONTH(АвгВс1+40)=8),АвгВс1+40, "")</f>
        <v/>
      </c>
      <c r="AH21" s="21" t="str">
        <f>IF(AND(YEAR(АвгВс1+41)=Год,MONTH(АвгВс1+41)=8),АвгВс1+41, "")</f>
        <v/>
      </c>
      <c r="AI21" s="24"/>
      <c r="AJ21" s="24"/>
    </row>
    <row r="22" spans="2:80" ht="9.9499999999999993" customHeight="1" x14ac:dyDescent="0.25">
      <c r="C22" s="6"/>
      <c r="D22" s="7"/>
      <c r="E22" s="7"/>
      <c r="F22" s="7"/>
      <c r="G22" s="7"/>
      <c r="H22" s="7"/>
      <c r="I22" s="7"/>
      <c r="J22" s="7"/>
      <c r="K22" s="23"/>
      <c r="L22" s="20"/>
      <c r="M22" s="20"/>
      <c r="N22" s="20"/>
      <c r="O22" s="20"/>
      <c r="P22" s="20"/>
      <c r="Q22" s="20"/>
      <c r="R22" s="20"/>
      <c r="S22" s="23"/>
      <c r="T22" s="7"/>
      <c r="U22" s="7"/>
      <c r="V22" s="7"/>
      <c r="W22" s="7"/>
      <c r="X22" s="7"/>
      <c r="Y22" s="7"/>
      <c r="Z22" s="7"/>
      <c r="AA22" s="23"/>
      <c r="AB22" s="7"/>
      <c r="AC22" s="7"/>
      <c r="AD22" s="7"/>
      <c r="AE22" s="7"/>
      <c r="AF22" s="7"/>
      <c r="AG22" s="7"/>
      <c r="AH22" s="7"/>
      <c r="AI22" s="23"/>
      <c r="AJ22" s="24"/>
    </row>
    <row r="23" spans="2:80" s="3" customFormat="1" ht="24" customHeight="1" x14ac:dyDescent="0.35">
      <c r="D23" s="30" t="s">
        <v>3</v>
      </c>
      <c r="E23" s="30"/>
      <c r="F23" s="30"/>
      <c r="G23" s="30"/>
      <c r="H23" s="30"/>
      <c r="I23" s="30"/>
      <c r="J23" s="30"/>
      <c r="K23" s="22"/>
      <c r="L23" s="30" t="s">
        <v>11</v>
      </c>
      <c r="M23" s="30"/>
      <c r="N23" s="30"/>
      <c r="O23" s="30"/>
      <c r="P23" s="30"/>
      <c r="Q23" s="30"/>
      <c r="R23" s="30"/>
      <c r="S23" s="22"/>
      <c r="T23" s="30" t="s">
        <v>14</v>
      </c>
      <c r="U23" s="30"/>
      <c r="V23" s="30"/>
      <c r="W23" s="30"/>
      <c r="X23" s="30"/>
      <c r="Y23" s="30"/>
      <c r="Z23" s="30"/>
      <c r="AA23" s="22"/>
      <c r="AB23" s="30" t="s">
        <v>17</v>
      </c>
      <c r="AC23" s="30"/>
      <c r="AD23" s="30"/>
      <c r="AE23" s="30"/>
      <c r="AF23" s="30"/>
      <c r="AG23" s="30"/>
      <c r="AH23" s="30"/>
      <c r="AI23" s="25"/>
      <c r="AJ23" s="25"/>
    </row>
    <row r="24" spans="2:80" ht="12.95" customHeight="1" x14ac:dyDescent="0.25">
      <c r="C24" s="4"/>
      <c r="D24" s="5" t="s">
        <v>1</v>
      </c>
      <c r="E24" s="5" t="s">
        <v>4</v>
      </c>
      <c r="F24" s="5" t="s">
        <v>5</v>
      </c>
      <c r="G24" s="5" t="s">
        <v>6</v>
      </c>
      <c r="H24" s="5" t="s">
        <v>7</v>
      </c>
      <c r="I24" s="5" t="s">
        <v>8</v>
      </c>
      <c r="J24" s="1" t="s">
        <v>18</v>
      </c>
      <c r="K24" s="23"/>
      <c r="L24" s="5" t="s">
        <v>1</v>
      </c>
      <c r="M24" s="5" t="s">
        <v>4</v>
      </c>
      <c r="N24" s="5" t="s">
        <v>5</v>
      </c>
      <c r="O24" s="5" t="s">
        <v>6</v>
      </c>
      <c r="P24" s="5" t="s">
        <v>7</v>
      </c>
      <c r="Q24" s="5" t="s">
        <v>8</v>
      </c>
      <c r="R24" s="1" t="s">
        <v>18</v>
      </c>
      <c r="S24" s="24"/>
      <c r="T24" s="5" t="s">
        <v>1</v>
      </c>
      <c r="U24" s="5" t="s">
        <v>4</v>
      </c>
      <c r="V24" s="5" t="s">
        <v>5</v>
      </c>
      <c r="W24" s="5" t="s">
        <v>6</v>
      </c>
      <c r="X24" s="5" t="s">
        <v>7</v>
      </c>
      <c r="Y24" s="5" t="s">
        <v>8</v>
      </c>
      <c r="Z24" s="1" t="s">
        <v>18</v>
      </c>
      <c r="AA24" s="24"/>
      <c r="AB24" s="5" t="s">
        <v>1</v>
      </c>
      <c r="AC24" s="5" t="s">
        <v>4</v>
      </c>
      <c r="AD24" s="5" t="s">
        <v>5</v>
      </c>
      <c r="AE24" s="5" t="s">
        <v>6</v>
      </c>
      <c r="AF24" s="5" t="s">
        <v>7</v>
      </c>
      <c r="AG24" s="5" t="s">
        <v>8</v>
      </c>
      <c r="AH24" s="1" t="s">
        <v>18</v>
      </c>
      <c r="AI24" s="24"/>
      <c r="AJ24" s="24"/>
    </row>
    <row r="25" spans="2:80" ht="12.95" customHeight="1" x14ac:dyDescent="0.25">
      <c r="D25" s="21" t="str">
        <f>IF(AND(YEAR(СенВс1)=Год,MONTH(СенВс1)=9),СенВс1, "")</f>
        <v/>
      </c>
      <c r="E25" s="21" t="str">
        <f>IF(AND(YEAR(СенВс1+1)=Год,MONTH(СенВс1+1)=9),СенВс1+1, "")</f>
        <v/>
      </c>
      <c r="F25" s="21">
        <f>IF(AND(YEAR(СенВс1+2)=Год,MONTH(СенВс1+2)=9),СенВс1+2, "")</f>
        <v>44440</v>
      </c>
      <c r="G25" s="21">
        <f>IF(AND(YEAR(СенВс1+3)=Год,MONTH(СенВс1+3)=9),СенВс1+3, "")</f>
        <v>44441</v>
      </c>
      <c r="H25" s="21">
        <f>IF(AND(YEAR(СенВс1+4)=Год,MONTH(СенВс1+4)=9),СенВс1+4, "")</f>
        <v>44442</v>
      </c>
      <c r="I25" s="21">
        <f>IF(AND(YEAR(СенВс1+5)=Год,MONTH(СенВс1+5)=9),СенВс1+5, "")</f>
        <v>44443</v>
      </c>
      <c r="J25" s="21">
        <f>IF(AND(YEAR(СенВс1+6)=Год,MONTH(СенВс1+6)=9),СенВс1+6, "")</f>
        <v>44444</v>
      </c>
      <c r="K25" s="23"/>
      <c r="L25" s="21" t="str">
        <f>IF(AND(YEAR(ОктВс1)=Год,MONTH(ОктВс1)=10),ОктВс1, "")</f>
        <v/>
      </c>
      <c r="M25" s="21" t="str">
        <f>IF(AND(YEAR(ОктВс1+1)=Год,MONTH(ОктВс1+1)=10),ОктВс1+1, "")</f>
        <v/>
      </c>
      <c r="N25" s="21" t="str">
        <f>IF(AND(YEAR(ОктВс1+2)=Год,MONTH(ОктВс1+2)=10),ОктВс1+2, "")</f>
        <v/>
      </c>
      <c r="O25" s="21" t="str">
        <f>IF(AND(YEAR(ОктВс1+3)=Год,MONTH(ОктВс1+3)=10),ОктВс1+3, "")</f>
        <v/>
      </c>
      <c r="P25" s="21">
        <f>IF(AND(YEAR(ОктВс1+4)=Год,MONTH(ОктВс1+4)=10),ОктВс1+4, "")</f>
        <v>44470</v>
      </c>
      <c r="Q25" s="21">
        <f>IF(AND(YEAR(ОктВс1+5)=Год,MONTH(ОктВс1+5)=10),ОктВс1+5, "")</f>
        <v>44471</v>
      </c>
      <c r="R25" s="21">
        <f>IF(AND(YEAR(ОктВс1+6)=Год,MONTH(ОктВс1+6)=10),ОктВс1+6, "")</f>
        <v>44472</v>
      </c>
      <c r="S25" s="24"/>
      <c r="T25" s="21">
        <f>IF(AND(YEAR(НояВс1)=Год,MONTH(НояВс1)=11),НояВс1, "")</f>
        <v>44501</v>
      </c>
      <c r="U25" s="21">
        <f>IF(AND(YEAR(НояВс1+1)=Год,MONTH(НояВс1+1)=11),НояВс1+1, "")</f>
        <v>44502</v>
      </c>
      <c r="V25" s="21">
        <f>IF(AND(YEAR(НояВс1+2)=Год,MONTH(НояВс1+2)=11),НояВс1+2, "")</f>
        <v>44503</v>
      </c>
      <c r="W25" s="21">
        <f>IF(AND(YEAR(НояВс1+3)=Год,MONTH(НояВс1+3)=11),НояВс1+3, "")</f>
        <v>44504</v>
      </c>
      <c r="X25" s="21">
        <f>IF(AND(YEAR(НояВс1+4)=Год,MONTH(НояВс1+4)=11),НояВс1+4, "")</f>
        <v>44505</v>
      </c>
      <c r="Y25" s="21">
        <f>IF(AND(YEAR(НояВс1+5)=Год,MONTH(НояВс1+5)=11),НояВс1+5, "")</f>
        <v>44506</v>
      </c>
      <c r="Z25" s="21">
        <f>IF(AND(YEAR(НояВс1+6)=Год,MONTH(НояВс1+6)=11),НояВс1+6, "")</f>
        <v>44507</v>
      </c>
      <c r="AA25" s="24"/>
      <c r="AB25" s="21" t="str">
        <f>IF(AND(YEAR(ДекВс1)=Год,MONTH(ДекВс1)=12),ДекВс1, "")</f>
        <v/>
      </c>
      <c r="AC25" s="21" t="str">
        <f>IF(AND(YEAR(ДекВс1+1)=Год,MONTH(ДекВс1+1)=12),ДекВс1+1, "")</f>
        <v/>
      </c>
      <c r="AD25" s="21">
        <f>IF(AND(YEAR(ДекВс1+2)=Год,MONTH(ДекВс1+2)=12),ДекВс1+2, "")</f>
        <v>44531</v>
      </c>
      <c r="AE25" s="21">
        <f>IF(AND(YEAR(ДекВс1+3)=Год,MONTH(ДекВс1+3)=12),ДекВс1+3, "")</f>
        <v>44532</v>
      </c>
      <c r="AF25" s="21">
        <f>IF(AND(YEAR(ДекВс1+4)=Год,MONTH(ДекВс1+4)=12),ДекВс1+4, "")</f>
        <v>44533</v>
      </c>
      <c r="AG25" s="21">
        <f>IF(AND(YEAR(ДекВс1+5)=Год,MONTH(ДекВс1+5)=12),ДекВс1+5, "")</f>
        <v>44534</v>
      </c>
      <c r="AH25" s="21">
        <f>IF(AND(YEAR(ДекВс1+6)=Год,MONTH(ДекВс1+6)=12),ДекВс1+6, "")</f>
        <v>44535</v>
      </c>
      <c r="AI25" s="24"/>
      <c r="AJ25" s="24"/>
    </row>
    <row r="26" spans="2:80" ht="12.95" customHeight="1" x14ac:dyDescent="0.25">
      <c r="D26" s="21">
        <f>IF(AND(YEAR(СенВс1+7)=Год,MONTH(СенВс1+7)=9),СенВс1+7, "")</f>
        <v>44445</v>
      </c>
      <c r="E26" s="21">
        <f>IF(AND(YEAR(СенВс1+8)=Год,MONTH(СенВс1+8)=9),СенВс1+8, "")</f>
        <v>44446</v>
      </c>
      <c r="F26" s="21">
        <f>IF(AND(YEAR(СенВс1+9)=Год,MONTH(СенВс1+9)=9),СенВс1+9, "")</f>
        <v>44447</v>
      </c>
      <c r="G26" s="21">
        <f>IF(AND(YEAR(СенВс1+10)=Год,MONTH(СенВс1+10)=9),СенВс1+10, "")</f>
        <v>44448</v>
      </c>
      <c r="H26" s="21">
        <f>IF(AND(YEAR(СенВс1+11)=Год,MONTH(СенВс1+11)=9),СенВс1+11, "")</f>
        <v>44449</v>
      </c>
      <c r="I26" s="21">
        <f>IF(AND(YEAR(СенВс1+12)=Год,MONTH(СенВс1+12)=9),СенВс1+12, "")</f>
        <v>44450</v>
      </c>
      <c r="J26" s="21">
        <f>IF(AND(YEAR(СенВс1+13)=Год,MONTH(СенВс1+13)=9),СенВс1+13, "")</f>
        <v>44451</v>
      </c>
      <c r="K26" s="23"/>
      <c r="L26" s="21">
        <f>IF(AND(YEAR(ОктВс1+7)=Год,MONTH(ОктВс1+7)=10),ОктВс1+7, "")</f>
        <v>44473</v>
      </c>
      <c r="M26" s="21">
        <f>IF(AND(YEAR(ОктВс1+8)=Год,MONTH(ОктВс1+8)=10),ОктВс1+8, "")</f>
        <v>44474</v>
      </c>
      <c r="N26" s="21">
        <f>IF(AND(YEAR(ОктВс1+9)=Год,MONTH(ОктВс1+9)=10),ОктВс1+9, "")</f>
        <v>44475</v>
      </c>
      <c r="O26" s="21">
        <f>IF(AND(YEAR(ОктВс1+10)=Год,MONTH(ОктВс1+10)=10),ОктВс1+10, "")</f>
        <v>44476</v>
      </c>
      <c r="P26" s="21">
        <f>IF(AND(YEAR(ОктВс1+11)=Год,MONTH(ОктВс1+11)=10),ОктВс1+11, "")</f>
        <v>44477</v>
      </c>
      <c r="Q26" s="21">
        <f>IF(AND(YEAR(ОктВс1+12)=Год,MONTH(ОктВс1+12)=10),ОктВс1+12, "")</f>
        <v>44478</v>
      </c>
      <c r="R26" s="21">
        <f>IF(AND(YEAR(ОктВс1+13)=Год,MONTH(ОктВс1+13)=10),ОктВс1+13, "")</f>
        <v>44479</v>
      </c>
      <c r="S26" s="24"/>
      <c r="T26" s="21">
        <f>IF(AND(YEAR(НояВс1+7)=Год,MONTH(НояВс1+7)=11),НояВс1+7, "")</f>
        <v>44508</v>
      </c>
      <c r="U26" s="21">
        <f>IF(AND(YEAR(НояВс1+8)=Год,MONTH(НояВс1+8)=11),НояВс1+8, "")</f>
        <v>44509</v>
      </c>
      <c r="V26" s="21">
        <f>IF(AND(YEAR(НояВс1+9)=Год,MONTH(НояВс1+9)=11),НояВс1+9, "")</f>
        <v>44510</v>
      </c>
      <c r="W26" s="21">
        <f>IF(AND(YEAR(НояВс1+10)=Год,MONTH(НояВс1+10)=11),НояВс1+10, "")</f>
        <v>44511</v>
      </c>
      <c r="X26" s="21">
        <f>IF(AND(YEAR(НояВс1+11)=Год,MONTH(НояВс1+11)=11),НояВс1+11, "")</f>
        <v>44512</v>
      </c>
      <c r="Y26" s="21">
        <f>IF(AND(YEAR(НояВс1+12)=Год,MONTH(НояВс1+12)=11),НояВс1+12, "")</f>
        <v>44513</v>
      </c>
      <c r="Z26" s="21">
        <f>IF(AND(YEAR(НояВс1+13)=Год,MONTH(НояВс1+13)=11),НояВс1+13, "")</f>
        <v>44514</v>
      </c>
      <c r="AA26" s="24"/>
      <c r="AB26" s="21">
        <f>IF(AND(YEAR(ДекВс1+7)=Год,MONTH(ДекВс1+7)=12),ДекВс1+7, "")</f>
        <v>44536</v>
      </c>
      <c r="AC26" s="21">
        <f>IF(AND(YEAR(ДекВс1+8)=Год,MONTH(ДекВс1+8)=12),ДекВс1+8, "")</f>
        <v>44537</v>
      </c>
      <c r="AD26" s="21">
        <f>IF(AND(YEAR(ДекВс1+9)=Год,MONTH(ДекВс1+9)=12),ДекВс1+9, "")</f>
        <v>44538</v>
      </c>
      <c r="AE26" s="21">
        <f>IF(AND(YEAR(ДекВс1+10)=Год,MONTH(ДекВс1+10)=12),ДекВс1+10, "")</f>
        <v>44539</v>
      </c>
      <c r="AF26" s="21">
        <f>IF(AND(YEAR(ДекВс1+11)=Год,MONTH(ДекВс1+11)=12),ДекВс1+11, "")</f>
        <v>44540</v>
      </c>
      <c r="AG26" s="21">
        <f>IF(AND(YEAR(ДекВс1+12)=Год,MONTH(ДекВс1+12)=12),ДекВс1+12, "")</f>
        <v>44541</v>
      </c>
      <c r="AH26" s="21">
        <f>IF(AND(YEAR(ДекВс1+13)=Год,MONTH(ДекВс1+13)=12),ДекВс1+13, "")</f>
        <v>44542</v>
      </c>
      <c r="AI26" s="24"/>
      <c r="AJ26" s="24"/>
      <c r="AV26" s="18">
        <v>2010</v>
      </c>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row>
    <row r="27" spans="2:80" ht="12.95" customHeight="1" x14ac:dyDescent="0.25">
      <c r="D27" s="21">
        <f>IF(AND(YEAR(СенВс1+14)=Год,MONTH(СенВс1+14)=9),СенВс1+14, "")</f>
        <v>44452</v>
      </c>
      <c r="E27" s="21">
        <f>IF(AND(YEAR(СенВс1+15)=Год,MONTH(СенВс1+15)=9),СенВс1+15, "")</f>
        <v>44453</v>
      </c>
      <c r="F27" s="21">
        <f>IF(AND(YEAR(СенВс1+16)=Год,MONTH(СенВс1+16)=9),СенВс1+16, "")</f>
        <v>44454</v>
      </c>
      <c r="G27" s="21">
        <f>IF(AND(YEAR(СенВс1+17)=Год,MONTH(СенВс1+17)=9),СенВс1+17, "")</f>
        <v>44455</v>
      </c>
      <c r="H27" s="21">
        <f>IF(AND(YEAR(СенВс1+18)=Год,MONTH(СенВс1+18)=9),СенВс1+18, "")</f>
        <v>44456</v>
      </c>
      <c r="I27" s="21">
        <f>IF(AND(YEAR(СенВс1+19)=Год,MONTH(СенВс1+19)=9),СенВс1+19, "")</f>
        <v>44457</v>
      </c>
      <c r="J27" s="21">
        <f>IF(AND(YEAR(СенВс1+20)=Год,MONTH(СенВс1+20)=9),СенВс1+20, "")</f>
        <v>44458</v>
      </c>
      <c r="K27" s="23"/>
      <c r="L27" s="21">
        <f>IF(AND(YEAR(ОктВс1+14)=Год,MONTH(ОктВс1+14)=10),ОктВс1+14, "")</f>
        <v>44480</v>
      </c>
      <c r="M27" s="21">
        <f>IF(AND(YEAR(ОктВс1+15)=Год,MONTH(ОктВс1+15)=10),ОктВс1+15, "")</f>
        <v>44481</v>
      </c>
      <c r="N27" s="21">
        <f>IF(AND(YEAR(ОктВс1+16)=Год,MONTH(ОктВс1+16)=10),ОктВс1+16, "")</f>
        <v>44482</v>
      </c>
      <c r="O27" s="21">
        <f>IF(AND(YEAR(ОктВс1+17)=Год,MONTH(ОктВс1+17)=10),ОктВс1+17, "")</f>
        <v>44483</v>
      </c>
      <c r="P27" s="21">
        <f>IF(AND(YEAR(ОктВс1+18)=Год,MONTH(ОктВс1+18)=10),ОктВс1+18, "")</f>
        <v>44484</v>
      </c>
      <c r="Q27" s="21">
        <f>IF(AND(YEAR(ОктВс1+19)=Год,MONTH(ОктВс1+19)=10),ОктВс1+19, "")</f>
        <v>44485</v>
      </c>
      <c r="R27" s="21">
        <f>IF(AND(YEAR(ОктВс1+20)=Год,MONTH(ОктВс1+20)=10),ОктВс1+20, "")</f>
        <v>44486</v>
      </c>
      <c r="S27" s="24"/>
      <c r="T27" s="21">
        <f>IF(AND(YEAR(НояВс1+14)=Год,MONTH(НояВс1+14)=11),НояВс1+14, "")</f>
        <v>44515</v>
      </c>
      <c r="U27" s="21">
        <f>IF(AND(YEAR(НояВс1+15)=Год,MONTH(НояВс1+15)=11),НояВс1+15, "")</f>
        <v>44516</v>
      </c>
      <c r="V27" s="21">
        <f>IF(AND(YEAR(НояВс1+16)=Год,MONTH(НояВс1+16)=11),НояВс1+16, "")</f>
        <v>44517</v>
      </c>
      <c r="W27" s="21">
        <f>IF(AND(YEAR(НояВс1+17)=Год,MONTH(НояВс1+17)=11),НояВс1+17, "")</f>
        <v>44518</v>
      </c>
      <c r="X27" s="21">
        <f>IF(AND(YEAR(НояВс1+18)=Год,MONTH(НояВс1+18)=11),НояВс1+18, "")</f>
        <v>44519</v>
      </c>
      <c r="Y27" s="21">
        <f>IF(AND(YEAR(НояВс1+19)=Год,MONTH(НояВс1+19)=11),НояВс1+19, "")</f>
        <v>44520</v>
      </c>
      <c r="Z27" s="21">
        <f>IF(AND(YEAR(НояВс1+20)=Год,MONTH(НояВс1+20)=11),НояВс1+20, "")</f>
        <v>44521</v>
      </c>
      <c r="AA27" s="24"/>
      <c r="AB27" s="21">
        <f>IF(AND(YEAR(ДекВс1+14)=Год,MONTH(ДекВс1+14)=12),ДекВс1+14, "")</f>
        <v>44543</v>
      </c>
      <c r="AC27" s="21">
        <f>IF(AND(YEAR(ДекВс1+15)=Год,MONTH(ДекВс1+15)=12),ДекВс1+15, "")</f>
        <v>44544</v>
      </c>
      <c r="AD27" s="21">
        <f>IF(AND(YEAR(ДекВс1+16)=Год,MONTH(ДекВс1+16)=12),ДекВс1+16, "")</f>
        <v>44545</v>
      </c>
      <c r="AE27" s="21">
        <f>IF(AND(YEAR(ДекВс1+17)=Год,MONTH(ДекВс1+17)=12),ДекВс1+17, "")</f>
        <v>44546</v>
      </c>
      <c r="AF27" s="21">
        <f>IF(AND(YEAR(ДекВс1+18)=Год,MONTH(ДекВс1+18)=12),ДекВс1+18, "")</f>
        <v>44547</v>
      </c>
      <c r="AG27" s="21">
        <f>IF(AND(YEAR(ДекВс1+19)=Год,MONTH(ДекВс1+19)=12),ДекВс1+19, "")</f>
        <v>44548</v>
      </c>
      <c r="AH27" s="21">
        <f>IF(AND(YEAR(ДекВс1+20)=Год,MONTH(ДекВс1+20)=12),ДекВс1+20, "")</f>
        <v>44549</v>
      </c>
      <c r="AI27" s="24"/>
      <c r="AJ27" s="24"/>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row>
    <row r="28" spans="2:80" ht="12.95" customHeight="1" x14ac:dyDescent="0.25">
      <c r="D28" s="21">
        <f>IF(AND(YEAR(СенВс1+21)=Год,MONTH(СенВс1+21)=9),СенВс1+21, "")</f>
        <v>44459</v>
      </c>
      <c r="E28" s="21">
        <f>IF(AND(YEAR(СенВс1+22)=Год,MONTH(СенВс1+22)=9),СенВс1+22, "")</f>
        <v>44460</v>
      </c>
      <c r="F28" s="21">
        <f>IF(AND(YEAR(СенВс1+23)=Год,MONTH(СенВс1+23)=9),СенВс1+23, "")</f>
        <v>44461</v>
      </c>
      <c r="G28" s="21">
        <f>IF(AND(YEAR(СенВс1+24)=Год,MONTH(СенВс1+24)=9),СенВс1+24, "")</f>
        <v>44462</v>
      </c>
      <c r="H28" s="21">
        <f>IF(AND(YEAR(СенВс1+25)=Год,MONTH(СенВс1+25)=9),СенВс1+25, "")</f>
        <v>44463</v>
      </c>
      <c r="I28" s="21">
        <f>IF(AND(YEAR(СенВс1+26)=Год,MONTH(СенВс1+26)=9),СенВс1+26, "")</f>
        <v>44464</v>
      </c>
      <c r="J28" s="21">
        <f>IF(AND(YEAR(СенВс1+27)=Год,MONTH(СенВс1+27)=9),СенВс1+27, "")</f>
        <v>44465</v>
      </c>
      <c r="K28" s="23"/>
      <c r="L28" s="21">
        <f>IF(AND(YEAR(ОктВс1+21)=Год,MONTH(ОктВс1+21)=10),ОктВс1+21, "")</f>
        <v>44487</v>
      </c>
      <c r="M28" s="21">
        <f>IF(AND(YEAR(ОктВс1+22)=Год,MONTH(ОктВс1+22)=10),ОктВс1+22, "")</f>
        <v>44488</v>
      </c>
      <c r="N28" s="21">
        <f>IF(AND(YEAR(ОктВс1+23)=Год,MONTH(ОктВс1+23)=10),ОктВс1+23, "")</f>
        <v>44489</v>
      </c>
      <c r="O28" s="21">
        <f>IF(AND(YEAR(ОктВс1+24)=Год,MONTH(ОктВс1+24)=10),ОктВс1+24, "")</f>
        <v>44490</v>
      </c>
      <c r="P28" s="21">
        <f>IF(AND(YEAR(ОктВс1+25)=Год,MONTH(ОктВс1+25)=10),ОктВс1+25, "")</f>
        <v>44491</v>
      </c>
      <c r="Q28" s="21">
        <f>IF(AND(YEAR(ОктВс1+26)=Год,MONTH(ОктВс1+26)=10),ОктВс1+26, "")</f>
        <v>44492</v>
      </c>
      <c r="R28" s="21">
        <f>IF(AND(YEAR(ОктВс1+27)=Год,MONTH(ОктВс1+27)=10),ОктВс1+27, "")</f>
        <v>44493</v>
      </c>
      <c r="S28" s="24"/>
      <c r="T28" s="21">
        <f>IF(AND(YEAR(НояВс1+21)=Год,MONTH(НояВс1+21)=11),НояВс1+21, "")</f>
        <v>44522</v>
      </c>
      <c r="U28" s="21">
        <f>IF(AND(YEAR(НояВс1+22)=Год,MONTH(НояВс1+22)=11),НояВс1+22, "")</f>
        <v>44523</v>
      </c>
      <c r="V28" s="21">
        <f>IF(AND(YEAR(НояВс1+23)=Год,MONTH(НояВс1+23)=11),НояВс1+23, "")</f>
        <v>44524</v>
      </c>
      <c r="W28" s="21">
        <f>IF(AND(YEAR(НояВс1+24)=Год,MONTH(НояВс1+24)=11),НояВс1+24, "")</f>
        <v>44525</v>
      </c>
      <c r="X28" s="21">
        <f>IF(AND(YEAR(НояВс1+25)=Год,MONTH(НояВс1+25)=11),НояВс1+25, "")</f>
        <v>44526</v>
      </c>
      <c r="Y28" s="21">
        <f>IF(AND(YEAR(НояВс1+26)=Год,MONTH(НояВс1+26)=11),НояВс1+26, "")</f>
        <v>44527</v>
      </c>
      <c r="Z28" s="21">
        <f>IF(AND(YEAR(НояВс1+27)=Год,MONTH(НояВс1+27)=11),НояВс1+27, "")</f>
        <v>44528</v>
      </c>
      <c r="AA28" s="24"/>
      <c r="AB28" s="21">
        <f>IF(AND(YEAR(ДекВс1+21)=Год,MONTH(ДекВс1+21)=12),ДекВс1+21, "")</f>
        <v>44550</v>
      </c>
      <c r="AC28" s="21">
        <f>IF(AND(YEAR(ДекВс1+22)=Год,MONTH(ДекВс1+22)=12),ДекВс1+22, "")</f>
        <v>44551</v>
      </c>
      <c r="AD28" s="21">
        <f>IF(AND(YEAR(ДекВс1+23)=Год,MONTH(ДекВс1+23)=12),ДекВс1+23, "")</f>
        <v>44552</v>
      </c>
      <c r="AE28" s="21">
        <f>IF(AND(YEAR(ДекВс1+24)=Год,MONTH(ДекВс1+24)=12),ДекВс1+24, "")</f>
        <v>44553</v>
      </c>
      <c r="AF28" s="21">
        <f>IF(AND(YEAR(ДекВс1+25)=Год,MONTH(ДекВс1+25)=12),ДекВс1+25, "")</f>
        <v>44554</v>
      </c>
      <c r="AG28" s="21">
        <f>IF(AND(YEAR(ДекВс1+26)=Год,MONTH(ДекВс1+26)=12),ДекВс1+26, "")</f>
        <v>44555</v>
      </c>
      <c r="AH28" s="21">
        <f>IF(AND(YEAR(ДекВс1+27)=Год,MONTH(ДекВс1+27)=12),ДекВс1+27, "")</f>
        <v>44556</v>
      </c>
      <c r="AI28" s="24"/>
      <c r="AJ28" s="24"/>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row>
    <row r="29" spans="2:80" ht="12.95" customHeight="1" x14ac:dyDescent="0.25">
      <c r="D29" s="21">
        <f>IF(AND(YEAR(СенВс1+28)=Год,MONTH(СенВс1+28)=9),СенВс1+28, "")</f>
        <v>44466</v>
      </c>
      <c r="E29" s="21">
        <f>IF(AND(YEAR(СенВс1+29)=Год,MONTH(СенВс1+29)=9),СенВс1+29, "")</f>
        <v>44467</v>
      </c>
      <c r="F29" s="21">
        <f>IF(AND(YEAR(СенВс1+30)=Год,MONTH(СенВс1+30)=9),СенВс1+30, "")</f>
        <v>44468</v>
      </c>
      <c r="G29" s="21">
        <f>IF(AND(YEAR(СенВс1+31)=Год,MONTH(СенВс1+31)=9),СенВс1+31, "")</f>
        <v>44469</v>
      </c>
      <c r="H29" s="21" t="str">
        <f>IF(AND(YEAR(СенВс1+32)=Год,MONTH(СенВс1+32)=9),СенВс1+32, "")</f>
        <v/>
      </c>
      <c r="I29" s="21" t="str">
        <f>IF(AND(YEAR(СенВс1+33)=Год,MONTH(СенВс1+33)=9),СенВс1+33, "")</f>
        <v/>
      </c>
      <c r="J29" s="21" t="str">
        <f>IF(AND(YEAR(СенВс1+34)=Год,MONTH(СенВс1+34)=9),СенВс1+34, "")</f>
        <v/>
      </c>
      <c r="K29" s="23"/>
      <c r="L29" s="21">
        <f>IF(AND(YEAR(ОктВс1+28)=Год,MONTH(ОктВс1+28)=10),ОктВс1+28, "")</f>
        <v>44494</v>
      </c>
      <c r="M29" s="21">
        <f>IF(AND(YEAR(ОктВс1+29)=Год,MONTH(ОктВс1+29)=10),ОктВс1+29, "")</f>
        <v>44495</v>
      </c>
      <c r="N29" s="21">
        <f>IF(AND(YEAR(ОктВс1+30)=Год,MONTH(ОктВс1+30)=10),ОктВс1+30, "")</f>
        <v>44496</v>
      </c>
      <c r="O29" s="21">
        <f>IF(AND(YEAR(ОктВс1+31)=Год,MONTH(ОктВс1+31)=10),ОктВс1+31, "")</f>
        <v>44497</v>
      </c>
      <c r="P29" s="21">
        <f>IF(AND(YEAR(ОктВс1+32)=Год,MONTH(ОктВс1+32)=10),ОктВс1+32, "")</f>
        <v>44498</v>
      </c>
      <c r="Q29" s="21">
        <f>IF(AND(YEAR(ОктВс1+33)=Год,MONTH(ОктВс1+33)=10),ОктВс1+33, "")</f>
        <v>44499</v>
      </c>
      <c r="R29" s="21">
        <f>IF(AND(YEAR(ОктВс1+34)=Год,MONTH(ОктВс1+34)=10),ОктВс1+34, "")</f>
        <v>44500</v>
      </c>
      <c r="S29" s="24"/>
      <c r="T29" s="21">
        <f>IF(AND(YEAR(НояВс1+28)=Год,MONTH(НояВс1+28)=11),НояВс1+28, "")</f>
        <v>44529</v>
      </c>
      <c r="U29" s="21">
        <f>IF(AND(YEAR(НояВс1+29)=Год,MONTH(НояВс1+29)=11),НояВс1+29, "")</f>
        <v>44530</v>
      </c>
      <c r="V29" s="21" t="str">
        <f>IF(AND(YEAR(НояВс1+30)=Год,MONTH(НояВс1+30)=11),НояВс1+30, "")</f>
        <v/>
      </c>
      <c r="W29" s="21" t="str">
        <f>IF(AND(YEAR(НояВс1+31)=Год,MONTH(НояВс1+31)=11),НояВс1+31, "")</f>
        <v/>
      </c>
      <c r="X29" s="21" t="str">
        <f>IF(AND(YEAR(НояВс1+32)=Год,MONTH(НояВс1+32)=11),НояВс1+32, "")</f>
        <v/>
      </c>
      <c r="Y29" s="21" t="str">
        <f>IF(AND(YEAR(НояВс1+33)=Год,MONTH(НояВс1+33)=11),НояВс1+33, "")</f>
        <v/>
      </c>
      <c r="Z29" s="21" t="str">
        <f>IF(AND(YEAR(НояВс1+34)=Год,MONTH(НояВс1+34)=11),НояВс1+34, "")</f>
        <v/>
      </c>
      <c r="AA29" s="24"/>
      <c r="AB29" s="21">
        <f>IF(AND(YEAR(ДекВс1+28)=Год,MONTH(ДекВс1+28)=12),ДекВс1+28, "")</f>
        <v>44557</v>
      </c>
      <c r="AC29" s="21">
        <f>IF(AND(YEAR(ДекВс1+29)=Год,MONTH(ДекВс1+29)=12),ДекВс1+29, "")</f>
        <v>44558</v>
      </c>
      <c r="AD29" s="21">
        <f>IF(AND(YEAR(ДекВс1+30)=Год,MONTH(ДекВс1+30)=12),ДекВс1+30, "")</f>
        <v>44559</v>
      </c>
      <c r="AE29" s="21">
        <f>IF(AND(YEAR(ДекВс1+31)=Год,MONTH(ДекВс1+31)=12),ДекВс1+31, "")</f>
        <v>44560</v>
      </c>
      <c r="AF29" s="21">
        <f>IF(AND(YEAR(ДекВс1+32)=Год,MONTH(ДекВс1+32)=12),ДекВс1+32, "")</f>
        <v>44561</v>
      </c>
      <c r="AG29" s="21" t="str">
        <f>IF(AND(YEAR(ДекВс1+33)=Год,MONTH(ДекВс1+33)=12),ДекВс1+33, "")</f>
        <v/>
      </c>
      <c r="AH29" s="21" t="str">
        <f>IF(AND(YEAR(ДекВс1+34)=Год,MONTH(ДекВс1+34)=12),ДекВс1+34, "")</f>
        <v/>
      </c>
      <c r="AI29" s="24"/>
      <c r="AJ29" s="24"/>
      <c r="AT29" s="13"/>
    </row>
    <row r="30" spans="2:80" ht="12.95" customHeight="1" x14ac:dyDescent="0.25">
      <c r="D30" s="21" t="str">
        <f>IF(AND(YEAR(СенВс1+35)=Год,MONTH(СенВс1+35)=9),СенВс1+35, "")</f>
        <v/>
      </c>
      <c r="E30" s="21" t="str">
        <f>IF(AND(YEAR(СенВс1+36)=Год,MONTH(СенВс1+36)=9),СенВс1+36, "")</f>
        <v/>
      </c>
      <c r="F30" s="21" t="str">
        <f>IF(AND(YEAR(СенВс1+37)=Год,MONTH(СенВс1+37)=9),СенВс1+37, "")</f>
        <v/>
      </c>
      <c r="G30" s="21" t="str">
        <f>IF(AND(YEAR(СенВс1+38)=Год,MONTH(СенВс1+38)=9),СенВс1+38, "")</f>
        <v/>
      </c>
      <c r="H30" s="21" t="str">
        <f>IF(AND(YEAR(СенВс1+39)=Год,MONTH(СенВс1+39)=9),СенВс1+39, "")</f>
        <v/>
      </c>
      <c r="I30" s="21" t="str">
        <f>IF(AND(YEAR(СенВс1+40)=Год,MONTH(СенВс1+40)=9),СенВс1+40, "")</f>
        <v/>
      </c>
      <c r="J30" s="21" t="str">
        <f>IF(AND(YEAR(СенВс1+41)=Год,MONTH(СенВс1+41)=9),СенВс1+41, "")</f>
        <v/>
      </c>
      <c r="K30" s="23"/>
      <c r="L30" s="21" t="str">
        <f>IF(AND(YEAR(ОктВс1+35)=Год,MONTH(ОктВс1+35)=10),ОктВс1+35, "")</f>
        <v/>
      </c>
      <c r="M30" s="21" t="str">
        <f>IF(AND(YEAR(ОктВс1+36)=Год,MONTH(ОктВс1+36)=10),ОктВс1+36, "")</f>
        <v/>
      </c>
      <c r="N30" s="21" t="str">
        <f>IF(AND(YEAR(ОктВс1+37)=Год,MONTH(ОктВс1+37)=10),ОктВс1+37, "")</f>
        <v/>
      </c>
      <c r="O30" s="21" t="str">
        <f>IF(AND(YEAR(ОктВс1+38)=Год,MONTH(ОктВс1+38)=10),ОктВс1+38, "")</f>
        <v/>
      </c>
      <c r="P30" s="21" t="str">
        <f>IF(AND(YEAR(ОктВс1+39)=Год,MONTH(ОктВс1+39)=10),ОктВс1+39, "")</f>
        <v/>
      </c>
      <c r="Q30" s="21" t="str">
        <f>IF(AND(YEAR(ОктВс1+40)=Год,MONTH(ОктВс1+40)=10),ОктВс1+40, "")</f>
        <v/>
      </c>
      <c r="R30" s="21" t="str">
        <f>IF(AND(YEAR(ОктВс1+41)=Год,MONTH(ОктВс1+41)=10),ОктВс1+41, "")</f>
        <v/>
      </c>
      <c r="S30" s="24"/>
      <c r="T30" s="21" t="str">
        <f>IF(AND(YEAR(НояВс1+35)=Год,MONTH(НояВс1+35)=11),НояВс1+35, "")</f>
        <v/>
      </c>
      <c r="U30" s="21" t="str">
        <f>IF(AND(YEAR(НояВс1+36)=Год,MONTH(НояВс1+36)=11),НояВс1+36, "")</f>
        <v/>
      </c>
      <c r="V30" s="21" t="str">
        <f>IF(AND(YEAR(НояВс1+37)=Год,MONTH(НояВс1+37)=11),НояВс1+37, "")</f>
        <v/>
      </c>
      <c r="W30" s="21" t="str">
        <f>IF(AND(YEAR(НояВс1+38)=Год,MONTH(НояВс1+38)=11),НояВс1+38, "")</f>
        <v/>
      </c>
      <c r="X30" s="21" t="str">
        <f>IF(AND(YEAR(НояВс1+39)=Год,MONTH(НояВс1+39)=11),НояВс1+39, "")</f>
        <v/>
      </c>
      <c r="Y30" s="21" t="str">
        <f>IF(AND(YEAR(НояВс1+40)=Год,MONTH(НояВс1+40)=11),НояВс1+40, "")</f>
        <v/>
      </c>
      <c r="Z30" s="21" t="str">
        <f>IF(AND(YEAR(НояВс1+41)=Год,MONTH(НояВс1+41)=11),НояВс1+41, "")</f>
        <v/>
      </c>
      <c r="AA30" s="24"/>
      <c r="AB30" s="21" t="str">
        <f>IF(AND(YEAR(ДекВс1+35)=Год,MONTH(ДекВс1+35)=12),ДекВс1+35, "")</f>
        <v/>
      </c>
      <c r="AC30" s="21" t="str">
        <f>IF(AND(YEAR(ДекВс1+36)=Год,MONTH(ДекВс1+36)=12),ДекВс1+36, "")</f>
        <v/>
      </c>
      <c r="AD30" s="21" t="str">
        <f>IF(AND(YEAR(ДекВс1+37)=Год,MONTH(ДекВс1+37)=12),ДекВс1+37, "")</f>
        <v/>
      </c>
      <c r="AE30" s="21" t="str">
        <f>IF(AND(YEAR(ДекВс1+38)=Год,MONTH(ДекВс1+38)=12),ДекВс1+38, "")</f>
        <v/>
      </c>
      <c r="AF30" s="21" t="str">
        <f>IF(AND(YEAR(ДекВс1+39)=Год,MONTH(ДекВс1+39)=12),ДекВс1+39, "")</f>
        <v/>
      </c>
      <c r="AG30" s="21" t="str">
        <f>IF(AND(YEAR(ДекВс1+40)=Год,MONTH(ДекВс1+40)=12),ДекВс1+40, "")</f>
        <v/>
      </c>
      <c r="AH30" s="21" t="str">
        <f>IF(AND(YEAR(ДекВс1+41)=Год,MONTH(ДекВс1+41)=12),ДекВс1+41, "")</f>
        <v/>
      </c>
      <c r="AI30" s="24"/>
      <c r="AJ30" s="24"/>
    </row>
    <row r="31" spans="2:80" ht="21" customHeight="1" x14ac:dyDescent="0.2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row>
    <row r="32" spans="2:80" ht="9.75" customHeight="1" x14ac:dyDescent="0.25">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row>
    <row r="33" spans="2:36" ht="9.75" customHeight="1" x14ac:dyDescent="0.2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2:36" ht="33.75" customHeight="1" x14ac:dyDescent="0.25">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2:36" ht="21.75" customHeight="1" x14ac:dyDescent="0.25">
      <c r="Z35" s="6"/>
      <c r="AH35" s="6"/>
    </row>
    <row r="36" spans="2:36" x14ac:dyDescent="0.25">
      <c r="Z36" s="6"/>
      <c r="AH36" s="6"/>
    </row>
    <row r="37" spans="2:36" x14ac:dyDescent="0.25">
      <c r="Z37" s="6"/>
      <c r="AH37" s="6"/>
    </row>
    <row r="38" spans="2:36" x14ac:dyDescent="0.25">
      <c r="Z38" s="6"/>
      <c r="AH38" s="6"/>
    </row>
    <row r="39" spans="2:36" x14ac:dyDescent="0.25">
      <c r="Z39" s="6"/>
      <c r="AH39" s="6"/>
    </row>
    <row r="41" spans="2:36" x14ac:dyDescent="0.25">
      <c r="D41" s="3"/>
      <c r="E41" s="3"/>
      <c r="F41" s="3"/>
      <c r="G41" s="3"/>
      <c r="H41" s="3"/>
      <c r="I41" s="3"/>
      <c r="J41" s="3"/>
      <c r="L41" s="14"/>
      <c r="M41" s="14"/>
      <c r="N41" s="14"/>
      <c r="O41" s="14"/>
      <c r="P41" s="14"/>
      <c r="Q41" s="14"/>
      <c r="R41" s="14"/>
    </row>
    <row r="42" spans="2:36" x14ac:dyDescent="0.25">
      <c r="L42" s="14"/>
      <c r="M42" s="14"/>
      <c r="N42" s="14"/>
      <c r="O42" s="14"/>
      <c r="P42" s="14"/>
      <c r="Q42" s="14"/>
      <c r="R42" s="14"/>
    </row>
    <row r="43" spans="2:36" x14ac:dyDescent="0.25">
      <c r="L43" s="14"/>
      <c r="M43" s="14"/>
      <c r="N43" s="14"/>
      <c r="O43" s="14"/>
      <c r="P43" s="14"/>
      <c r="Q43" s="14"/>
      <c r="R43" s="14"/>
    </row>
    <row r="50" spans="4:34" ht="20.25" x14ac:dyDescent="0.35">
      <c r="D50" s="15"/>
      <c r="E50" s="14"/>
      <c r="F50" s="14"/>
      <c r="G50" s="14"/>
      <c r="H50" s="14"/>
      <c r="I50" s="14"/>
      <c r="J50" s="14"/>
      <c r="T50" s="14"/>
      <c r="U50" s="14"/>
      <c r="V50" s="14"/>
      <c r="W50" s="14"/>
      <c r="X50" s="14"/>
      <c r="Y50" s="14"/>
      <c r="Z50" s="14"/>
      <c r="AB50" s="8"/>
      <c r="AC50" s="8"/>
      <c r="AD50" s="8"/>
      <c r="AE50" s="8"/>
      <c r="AF50" s="8"/>
      <c r="AG50" s="8"/>
      <c r="AH50" s="8"/>
    </row>
    <row r="51" spans="4:34" x14ac:dyDescent="0.25">
      <c r="D51" s="14"/>
      <c r="E51" s="14"/>
      <c r="F51" s="14"/>
      <c r="G51" s="14"/>
      <c r="H51" s="14"/>
      <c r="I51" s="14"/>
      <c r="J51" s="14"/>
      <c r="T51" s="14"/>
      <c r="U51" s="14"/>
      <c r="V51" s="14"/>
      <c r="W51" s="14"/>
      <c r="X51" s="14"/>
      <c r="Y51" s="14"/>
      <c r="Z51" s="14"/>
      <c r="AB51" s="8"/>
      <c r="AC51" s="8"/>
      <c r="AD51" s="8"/>
      <c r="AE51" s="8"/>
      <c r="AF51" s="8"/>
      <c r="AG51" s="8"/>
      <c r="AH51" s="8"/>
    </row>
    <row r="52" spans="4:34" x14ac:dyDescent="0.25">
      <c r="D52" s="14"/>
      <c r="E52" s="14"/>
      <c r="F52" s="14"/>
      <c r="G52" s="14"/>
      <c r="H52" s="14"/>
      <c r="I52" s="14"/>
      <c r="J52" s="14"/>
      <c r="T52" s="14"/>
      <c r="U52" s="14"/>
      <c r="V52" s="14"/>
      <c r="W52" s="14"/>
      <c r="X52" s="14"/>
      <c r="Y52" s="14"/>
      <c r="Z52" s="14"/>
    </row>
  </sheetData>
  <mergeCells count="21">
    <mergeCell ref="D23:J23"/>
    <mergeCell ref="D5:J5"/>
    <mergeCell ref="L5:R5"/>
    <mergeCell ref="L23:R23"/>
    <mergeCell ref="T23:Z23"/>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s>
  <phoneticPr fontId="1" type="noConversion"/>
  <dataValidations count="2">
    <dataValidation type="whole" allowBlank="1" showInputMessage="1" showErrorMessage="1" sqref="AM5 AV26 AP3" xr:uid="{00000000-0002-0000-0000-000000000000}">
      <formula1>"1900"</formula1>
      <formula2>9999</formula2>
    </dataValidation>
    <dataValidation type="whole" allowBlank="1" showInputMessage="1" showErrorMessage="1" sqref="Z2:AI4" xr:uid="{00000000-0002-0000-0000-000001000000}">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6" r:id="rId4" name="Счетчик 21">
              <controlPr defaultSize="0" print="0" autoPict="0">
                <anchor>
                  <from>
                    <xdr:col>34</xdr:col>
                    <xdr:colOff>28575</xdr:colOff>
                    <xdr:row>2</xdr:row>
                    <xdr:rowOff>171450</xdr:rowOff>
                  </from>
                  <to>
                    <xdr:col>34</xdr:col>
                    <xdr:colOff>209550</xdr:colOff>
                    <xdr:row>3</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3.xml><?xml version="1.0" encoding="utf-8"?>
<ds:datastoreItem xmlns:ds="http://schemas.openxmlformats.org/officeDocument/2006/customXml" ds:itemID="{B6534818-5B37-46AF-A367-D9C1DFA12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Календарь</vt:lpstr>
      <vt:lpstr>Год</vt:lpstr>
      <vt:lpstr>Календарь!Область_печати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2020-09-25T19:40:13Z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y fmtid="{D5CDD505-2E9C-101B-9397-08002B2CF9AE}" pid="9" name="TBCO_ScreenResolution">
    <vt:lpwstr>96 96 1920 1080</vt:lpwstr>
  </property>
</Properties>
</file>