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autoCompressPictures="0"/>
  <xr:revisionPtr revIDLastSave="0" documentId="13_ncr:1_{1AE57D4D-21DD-4E9A-8698-FE7C671FC43E}" xr6:coauthVersionLast="45" xr6:coauthVersionMax="45" xr10:uidLastSave="{00000000-0000-0000-0000-000000000000}"/>
  <bookViews>
    <workbookView xWindow="-120" yWindow="-120" windowWidth="29040" windowHeight="15840" xr2:uid="{00000000-000D-0000-FFFF-FFFF00000000}"/>
  </bookViews>
  <sheets>
    <sheet name="Календарь" sheetId="1" r:id="rId1"/>
  </sheets>
  <definedNames>
    <definedName name="АвгВс1">DATE(Год,8,1)-WEEKDAY(DATE(Год,8,1),2)+1</definedName>
    <definedName name="АпрВс1">DATE(Год,4,1)-WEEKDAY(DATE(Год,4,1),2)+1</definedName>
    <definedName name="Год">Календарь!$Z$2</definedName>
    <definedName name="ДекВс1">DATE(Год,12,1)-WEEKDAY(DATE(Год,12,1),2)+1</definedName>
    <definedName name="ИюлВс1">DATE(Год,7,1)-WEEKDAY(DATE(Год,7,1),2)+1</definedName>
    <definedName name="ИюнВс1">DATE(Год,6,1)-WEEKDAY(DATE(Год,6,1),2)+1</definedName>
    <definedName name="МайВс1">DATE(Год,5,1)-WEEKDAY(DATE(Год,5,1),2)+1</definedName>
    <definedName name="МарВс1">DATE(Год,3,1)-WEEKDAY(DATE(Год,3,1),2)+1</definedName>
    <definedName name="НояВс1">DATE(Год,11,1)-WEEKDAY(DATE(Год,11,1),2)+1</definedName>
    <definedName name="_xlnm.Print_Area" localSheetId="0">Календарь!$B$2:$AJ$34</definedName>
    <definedName name="ОктВс1">DATE(Год,10,1)-WEEKDAY(DATE(Год,10,1),2)+1</definedName>
    <definedName name="СенВс1">DATE(Год,9,1)-WEEKDAY(DATE(Год,9,1),2)+1</definedName>
    <definedName name="ФевВс1">DATE(Год,2,1)-WEEKDAY(DATE(Год,2,1),2)+1</definedName>
    <definedName name="ЯнвВс1">DATE(Год,1,1)-WEEKDAY(DATE(Год,1,1),2)+1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30" i="1" l="1"/>
  <c r="AG30" i="1"/>
  <c r="AF30" i="1"/>
  <c r="AE30" i="1"/>
  <c r="AD30" i="1"/>
  <c r="AC30" i="1"/>
  <c r="AB30" i="1"/>
  <c r="Z30" i="1"/>
  <c r="Y30" i="1"/>
  <c r="X30" i="1"/>
  <c r="W30" i="1"/>
  <c r="V30" i="1"/>
  <c r="U30" i="1"/>
  <c r="T30" i="1"/>
  <c r="R30" i="1"/>
  <c r="Q30" i="1"/>
  <c r="P30" i="1"/>
  <c r="O30" i="1"/>
  <c r="N30" i="1"/>
  <c r="M30" i="1"/>
  <c r="L30" i="1"/>
  <c r="J30" i="1"/>
  <c r="I30" i="1"/>
  <c r="H30" i="1"/>
  <c r="G30" i="1"/>
  <c r="F30" i="1"/>
  <c r="E30" i="1"/>
  <c r="D30" i="1"/>
  <c r="AH29" i="1"/>
  <c r="AG29" i="1"/>
  <c r="AF29" i="1"/>
  <c r="AE29" i="1"/>
  <c r="AD29" i="1"/>
  <c r="AC29" i="1"/>
  <c r="AB29" i="1"/>
  <c r="Z29" i="1"/>
  <c r="Y29" i="1"/>
  <c r="X29" i="1"/>
  <c r="W29" i="1"/>
  <c r="V29" i="1"/>
  <c r="U29" i="1"/>
  <c r="T29" i="1"/>
  <c r="R29" i="1"/>
  <c r="Q29" i="1"/>
  <c r="P29" i="1"/>
  <c r="O29" i="1"/>
  <c r="N29" i="1"/>
  <c r="M29" i="1"/>
  <c r="L29" i="1"/>
  <c r="J29" i="1"/>
  <c r="I29" i="1"/>
  <c r="H29" i="1"/>
  <c r="G29" i="1"/>
  <c r="F29" i="1"/>
  <c r="E29" i="1"/>
  <c r="D29" i="1"/>
  <c r="AH28" i="1"/>
  <c r="AG28" i="1"/>
  <c r="AF28" i="1"/>
  <c r="AE28" i="1"/>
  <c r="AD28" i="1"/>
  <c r="AC28" i="1"/>
  <c r="AB28" i="1"/>
  <c r="Z28" i="1"/>
  <c r="Y28" i="1"/>
  <c r="X28" i="1"/>
  <c r="W28" i="1"/>
  <c r="V28" i="1"/>
  <c r="U28" i="1"/>
  <c r="T28" i="1"/>
  <c r="R28" i="1"/>
  <c r="Q28" i="1"/>
  <c r="P28" i="1"/>
  <c r="O28" i="1"/>
  <c r="N28" i="1"/>
  <c r="M28" i="1"/>
  <c r="L28" i="1"/>
  <c r="J28" i="1"/>
  <c r="I28" i="1"/>
  <c r="H28" i="1"/>
  <c r="G28" i="1"/>
  <c r="F28" i="1"/>
  <c r="E28" i="1"/>
  <c r="D28" i="1"/>
  <c r="AH27" i="1"/>
  <c r="AG27" i="1"/>
  <c r="AF27" i="1"/>
  <c r="AE27" i="1"/>
  <c r="AD27" i="1"/>
  <c r="AC27" i="1"/>
  <c r="AB27" i="1"/>
  <c r="Z27" i="1"/>
  <c r="Y27" i="1"/>
  <c r="X27" i="1"/>
  <c r="W27" i="1"/>
  <c r="V27" i="1"/>
  <c r="U27" i="1"/>
  <c r="T27" i="1"/>
  <c r="R27" i="1"/>
  <c r="Q27" i="1"/>
  <c r="P27" i="1"/>
  <c r="O27" i="1"/>
  <c r="N27" i="1"/>
  <c r="M27" i="1"/>
  <c r="L27" i="1"/>
  <c r="J27" i="1"/>
  <c r="I27" i="1"/>
  <c r="H27" i="1"/>
  <c r="G27" i="1"/>
  <c r="F27" i="1"/>
  <c r="E27" i="1"/>
  <c r="D27" i="1"/>
  <c r="AH26" i="1"/>
  <c r="AG26" i="1"/>
  <c r="AF26" i="1"/>
  <c r="AE26" i="1"/>
  <c r="AD26" i="1"/>
  <c r="AC26" i="1"/>
  <c r="AB26" i="1"/>
  <c r="Z26" i="1"/>
  <c r="Y26" i="1"/>
  <c r="X26" i="1"/>
  <c r="W26" i="1"/>
  <c r="V26" i="1"/>
  <c r="U26" i="1"/>
  <c r="T26" i="1"/>
  <c r="R26" i="1"/>
  <c r="Q26" i="1"/>
  <c r="P26" i="1"/>
  <c r="O26" i="1"/>
  <c r="N26" i="1"/>
  <c r="M26" i="1"/>
  <c r="L26" i="1"/>
  <c r="J26" i="1"/>
  <c r="I26" i="1"/>
  <c r="H26" i="1"/>
  <c r="G26" i="1"/>
  <c r="F26" i="1"/>
  <c r="E26" i="1"/>
  <c r="D26" i="1"/>
  <c r="AH25" i="1"/>
  <c r="AG25" i="1"/>
  <c r="AF25" i="1"/>
  <c r="AE25" i="1"/>
  <c r="AD25" i="1"/>
  <c r="AC25" i="1"/>
  <c r="AB25" i="1"/>
  <c r="Z25" i="1"/>
  <c r="Y25" i="1"/>
  <c r="X25" i="1"/>
  <c r="W25" i="1"/>
  <c r="V25" i="1"/>
  <c r="U25" i="1"/>
  <c r="T25" i="1"/>
  <c r="R25" i="1"/>
  <c r="Q25" i="1"/>
  <c r="P25" i="1"/>
  <c r="O25" i="1"/>
  <c r="N25" i="1"/>
  <c r="M25" i="1"/>
  <c r="L25" i="1"/>
  <c r="J25" i="1"/>
  <c r="I25" i="1"/>
  <c r="H25" i="1"/>
  <c r="G25" i="1"/>
  <c r="F25" i="1"/>
  <c r="E25" i="1"/>
  <c r="D25" i="1"/>
  <c r="AH21" i="1"/>
  <c r="AG21" i="1"/>
  <c r="AF21" i="1"/>
  <c r="AE21" i="1"/>
  <c r="AD21" i="1"/>
  <c r="AC21" i="1"/>
  <c r="AB21" i="1"/>
  <c r="Z21" i="1"/>
  <c r="Y21" i="1"/>
  <c r="X21" i="1"/>
  <c r="W21" i="1"/>
  <c r="V21" i="1"/>
  <c r="U21" i="1"/>
  <c r="T21" i="1"/>
  <c r="R21" i="1"/>
  <c r="Q21" i="1"/>
  <c r="P21" i="1"/>
  <c r="O21" i="1"/>
  <c r="N21" i="1"/>
  <c r="M21" i="1"/>
  <c r="L21" i="1"/>
  <c r="J21" i="1"/>
  <c r="I21" i="1"/>
  <c r="H21" i="1"/>
  <c r="G21" i="1"/>
  <c r="F21" i="1"/>
  <c r="E21" i="1"/>
  <c r="D21" i="1"/>
  <c r="AH20" i="1"/>
  <c r="AG20" i="1"/>
  <c r="AF20" i="1"/>
  <c r="AE20" i="1"/>
  <c r="AD20" i="1"/>
  <c r="AC20" i="1"/>
  <c r="AB20" i="1"/>
  <c r="Z20" i="1"/>
  <c r="Y20" i="1"/>
  <c r="X20" i="1"/>
  <c r="W20" i="1"/>
  <c r="V20" i="1"/>
  <c r="U20" i="1"/>
  <c r="T20" i="1"/>
  <c r="R20" i="1"/>
  <c r="Q20" i="1"/>
  <c r="P20" i="1"/>
  <c r="O20" i="1"/>
  <c r="N20" i="1"/>
  <c r="M20" i="1"/>
  <c r="L20" i="1"/>
  <c r="J20" i="1"/>
  <c r="I20" i="1"/>
  <c r="H20" i="1"/>
  <c r="G20" i="1"/>
  <c r="F20" i="1"/>
  <c r="E20" i="1"/>
  <c r="D20" i="1"/>
  <c r="AH19" i="1"/>
  <c r="AG19" i="1"/>
  <c r="AF19" i="1"/>
  <c r="AE19" i="1"/>
  <c r="AD19" i="1"/>
  <c r="AC19" i="1"/>
  <c r="AB19" i="1"/>
  <c r="Z19" i="1"/>
  <c r="Y19" i="1"/>
  <c r="X19" i="1"/>
  <c r="W19" i="1"/>
  <c r="V19" i="1"/>
  <c r="U19" i="1"/>
  <c r="T19" i="1"/>
  <c r="R19" i="1"/>
  <c r="Q19" i="1"/>
  <c r="P19" i="1"/>
  <c r="O19" i="1"/>
  <c r="N19" i="1"/>
  <c r="M19" i="1"/>
  <c r="L19" i="1"/>
  <c r="J19" i="1"/>
  <c r="I19" i="1"/>
  <c r="H19" i="1"/>
  <c r="G19" i="1"/>
  <c r="F19" i="1"/>
  <c r="E19" i="1"/>
  <c r="D19" i="1"/>
  <c r="AH18" i="1"/>
  <c r="AG18" i="1"/>
  <c r="AF18" i="1"/>
  <c r="AE18" i="1"/>
  <c r="AD18" i="1"/>
  <c r="AC18" i="1"/>
  <c r="AB18" i="1"/>
  <c r="Z18" i="1"/>
  <c r="Y18" i="1"/>
  <c r="X18" i="1"/>
  <c r="W18" i="1"/>
  <c r="V18" i="1"/>
  <c r="U18" i="1"/>
  <c r="T18" i="1"/>
  <c r="R18" i="1"/>
  <c r="Q18" i="1"/>
  <c r="P18" i="1"/>
  <c r="O18" i="1"/>
  <c r="N18" i="1"/>
  <c r="M18" i="1"/>
  <c r="L18" i="1"/>
  <c r="J18" i="1"/>
  <c r="I18" i="1"/>
  <c r="H18" i="1"/>
  <c r="G18" i="1"/>
  <c r="F18" i="1"/>
  <c r="E18" i="1"/>
  <c r="D18" i="1"/>
  <c r="AH17" i="1"/>
  <c r="AG17" i="1"/>
  <c r="AF17" i="1"/>
  <c r="AE17" i="1"/>
  <c r="AD17" i="1"/>
  <c r="AC17" i="1"/>
  <c r="AB17" i="1"/>
  <c r="Z17" i="1"/>
  <c r="Y17" i="1"/>
  <c r="X17" i="1"/>
  <c r="W17" i="1"/>
  <c r="V17" i="1"/>
  <c r="U17" i="1"/>
  <c r="T17" i="1"/>
  <c r="R17" i="1"/>
  <c r="Q17" i="1"/>
  <c r="P17" i="1"/>
  <c r="O17" i="1"/>
  <c r="N17" i="1"/>
  <c r="M17" i="1"/>
  <c r="L17" i="1"/>
  <c r="J17" i="1"/>
  <c r="I17" i="1"/>
  <c r="H17" i="1"/>
  <c r="G17" i="1"/>
  <c r="F17" i="1"/>
  <c r="E17" i="1"/>
  <c r="D17" i="1"/>
  <c r="AH16" i="1"/>
  <c r="AG16" i="1"/>
  <c r="AF16" i="1"/>
  <c r="AE16" i="1"/>
  <c r="AD16" i="1"/>
  <c r="AC16" i="1"/>
  <c r="AB16" i="1"/>
  <c r="Z16" i="1"/>
  <c r="Y16" i="1"/>
  <c r="X16" i="1"/>
  <c r="W16" i="1"/>
  <c r="V16" i="1"/>
  <c r="U16" i="1"/>
  <c r="T16" i="1"/>
  <c r="R16" i="1"/>
  <c r="Q16" i="1"/>
  <c r="P16" i="1"/>
  <c r="O16" i="1"/>
  <c r="N16" i="1"/>
  <c r="M16" i="1"/>
  <c r="L16" i="1"/>
  <c r="J16" i="1"/>
  <c r="I16" i="1"/>
  <c r="H16" i="1"/>
  <c r="G16" i="1"/>
  <c r="F16" i="1"/>
  <c r="E16" i="1"/>
  <c r="D16" i="1"/>
  <c r="AH12" i="1"/>
  <c r="AG12" i="1"/>
  <c r="AF12" i="1"/>
  <c r="AE12" i="1"/>
  <c r="AD12" i="1"/>
  <c r="AC12" i="1"/>
  <c r="AB12" i="1"/>
  <c r="Z12" i="1"/>
  <c r="Y12" i="1"/>
  <c r="X12" i="1"/>
  <c r="W12" i="1"/>
  <c r="V12" i="1"/>
  <c r="U12" i="1"/>
  <c r="T12" i="1"/>
  <c r="R12" i="1"/>
  <c r="Q12" i="1"/>
  <c r="P12" i="1"/>
  <c r="O12" i="1"/>
  <c r="N12" i="1"/>
  <c r="M12" i="1"/>
  <c r="L12" i="1"/>
  <c r="J12" i="1"/>
  <c r="I12" i="1"/>
  <c r="H12" i="1"/>
  <c r="G12" i="1"/>
  <c r="F12" i="1"/>
  <c r="E12" i="1"/>
  <c r="D12" i="1"/>
  <c r="AH11" i="1"/>
  <c r="AG11" i="1"/>
  <c r="AF11" i="1"/>
  <c r="AE11" i="1"/>
  <c r="AD11" i="1"/>
  <c r="AC11" i="1"/>
  <c r="AB11" i="1"/>
  <c r="Z11" i="1"/>
  <c r="Y11" i="1"/>
  <c r="X11" i="1"/>
  <c r="W11" i="1"/>
  <c r="V11" i="1"/>
  <c r="U11" i="1"/>
  <c r="T11" i="1"/>
  <c r="R11" i="1"/>
  <c r="Q11" i="1"/>
  <c r="P11" i="1"/>
  <c r="O11" i="1"/>
  <c r="N11" i="1"/>
  <c r="M11" i="1"/>
  <c r="L11" i="1"/>
  <c r="J11" i="1"/>
  <c r="I11" i="1"/>
  <c r="H11" i="1"/>
  <c r="G11" i="1"/>
  <c r="F11" i="1"/>
  <c r="E11" i="1"/>
  <c r="D11" i="1"/>
  <c r="AH10" i="1"/>
  <c r="AG10" i="1"/>
  <c r="AF10" i="1"/>
  <c r="AE10" i="1"/>
  <c r="AD10" i="1"/>
  <c r="AC10" i="1"/>
  <c r="AB10" i="1"/>
  <c r="Z10" i="1"/>
  <c r="Y10" i="1"/>
  <c r="X10" i="1"/>
  <c r="W10" i="1"/>
  <c r="V10" i="1"/>
  <c r="U10" i="1"/>
  <c r="T10" i="1"/>
  <c r="R10" i="1"/>
  <c r="Q10" i="1"/>
  <c r="P10" i="1"/>
  <c r="O10" i="1"/>
  <c r="N10" i="1"/>
  <c r="M10" i="1"/>
  <c r="L10" i="1"/>
  <c r="J10" i="1"/>
  <c r="I10" i="1"/>
  <c r="H10" i="1"/>
  <c r="G10" i="1"/>
  <c r="F10" i="1"/>
  <c r="E10" i="1"/>
  <c r="D10" i="1"/>
  <c r="AH9" i="1"/>
  <c r="AG9" i="1"/>
  <c r="AF9" i="1"/>
  <c r="AE9" i="1"/>
  <c r="AD9" i="1"/>
  <c r="AC9" i="1"/>
  <c r="AB9" i="1"/>
  <c r="Z9" i="1"/>
  <c r="Y9" i="1"/>
  <c r="X9" i="1"/>
  <c r="W9" i="1"/>
  <c r="V9" i="1"/>
  <c r="U9" i="1"/>
  <c r="T9" i="1"/>
  <c r="R9" i="1"/>
  <c r="Q9" i="1"/>
  <c r="P9" i="1"/>
  <c r="O9" i="1"/>
  <c r="N9" i="1"/>
  <c r="M9" i="1"/>
  <c r="L9" i="1"/>
  <c r="J9" i="1"/>
  <c r="I9" i="1"/>
  <c r="H9" i="1"/>
  <c r="G9" i="1"/>
  <c r="F9" i="1"/>
  <c r="E9" i="1"/>
  <c r="D9" i="1"/>
  <c r="AH8" i="1"/>
  <c r="AG8" i="1"/>
  <c r="AF8" i="1"/>
  <c r="AE8" i="1"/>
  <c r="AD8" i="1"/>
  <c r="AC8" i="1"/>
  <c r="AB8" i="1"/>
  <c r="Z8" i="1"/>
  <c r="Y8" i="1"/>
  <c r="X8" i="1"/>
  <c r="W8" i="1"/>
  <c r="V8" i="1"/>
  <c r="U8" i="1"/>
  <c r="T8" i="1"/>
  <c r="R8" i="1"/>
  <c r="Q8" i="1"/>
  <c r="P8" i="1"/>
  <c r="O8" i="1"/>
  <c r="N8" i="1"/>
  <c r="M8" i="1"/>
  <c r="L8" i="1"/>
  <c r="J8" i="1"/>
  <c r="I8" i="1"/>
  <c r="H8" i="1"/>
  <c r="G8" i="1"/>
  <c r="F8" i="1"/>
  <c r="E8" i="1"/>
  <c r="D8" i="1"/>
  <c r="AH7" i="1"/>
  <c r="AG7" i="1"/>
  <c r="AF7" i="1"/>
  <c r="AE7" i="1"/>
  <c r="AD7" i="1"/>
  <c r="AC7" i="1"/>
  <c r="AB7" i="1"/>
  <c r="Z7" i="1"/>
  <c r="Y7" i="1"/>
  <c r="X7" i="1"/>
  <c r="W7" i="1"/>
  <c r="V7" i="1"/>
  <c r="U7" i="1"/>
  <c r="T7" i="1"/>
  <c r="R7" i="1"/>
  <c r="Q7" i="1"/>
  <c r="P7" i="1"/>
  <c r="O7" i="1"/>
  <c r="N7" i="1"/>
  <c r="M7" i="1"/>
  <c r="L7" i="1"/>
  <c r="J7" i="1"/>
  <c r="I7" i="1"/>
  <c r="H7" i="1"/>
  <c r="G7" i="1"/>
  <c r="F7" i="1"/>
  <c r="E7" i="1"/>
  <c r="D7" i="1"/>
</calcChain>
</file>

<file path=xl/sharedStrings.xml><?xml version="1.0" encoding="utf-8"?>
<sst xmlns="http://schemas.openxmlformats.org/spreadsheetml/2006/main" count="96" uniqueCount="19">
  <si>
    <t xml:space="preserve"> январь</t>
  </si>
  <si>
    <t>пн</t>
  </si>
  <si>
    <t xml:space="preserve"> май</t>
  </si>
  <si>
    <t xml:space="preserve"> сентябрь</t>
  </si>
  <si>
    <t>вт</t>
  </si>
  <si>
    <t>ср</t>
  </si>
  <si>
    <t>чт</t>
  </si>
  <si>
    <t>пт</t>
  </si>
  <si>
    <t>сб</t>
  </si>
  <si>
    <t xml:space="preserve"> февраль</t>
  </si>
  <si>
    <t xml:space="preserve"> июнь</t>
  </si>
  <si>
    <t xml:space="preserve"> октябрь</t>
  </si>
  <si>
    <t xml:space="preserve"> март</t>
  </si>
  <si>
    <t xml:space="preserve"> июль</t>
  </si>
  <si>
    <t xml:space="preserve"> ноябрь</t>
  </si>
  <si>
    <t xml:space="preserve"> апрель</t>
  </si>
  <si>
    <t xml:space="preserve"> август</t>
  </si>
  <si>
    <t xml:space="preserve"> декабрь</t>
  </si>
  <si>
    <t>вс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</si>
</sst>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numFmt numFmtId="165" formatCode="d"/>
  </numFmts>
  <fonts count="12" x14ac:knownFonts="1">
    <font>
      <sz val="10"/>
      <name val="Arial"/>
    </font>
    <font>
      <sz val="8"/>
      <name val="Arial"/>
      <family val="2"/>
    </font>
    <font>
      <sz val="10"/>
      <name val="Segoe UI"/>
      <family val="2"/>
      <scheme val="minor"/>
    </font>
    <font>
      <sz val="16"/>
      <name val="Segoe UI Light"/>
      <family val="1"/>
      <scheme val="major"/>
    </font>
    <font>
      <sz val="12"/>
      <name val="Segoe UI Light"/>
      <family val="2"/>
      <scheme val="major"/>
    </font>
    <font>
      <sz val="48"/>
      <name val="Segoe UI Light"/>
      <family val="1"/>
      <scheme val="major"/>
    </font>
    <font>
      <i/>
      <sz val="14"/>
      <color theme="1"/>
      <name val="Segoe UI Light"/>
      <family val="2"/>
      <scheme val="major"/>
    </font>
    <font>
      <sz val="10"/>
      <color theme="1"/>
      <name val="Segoe UI"/>
      <family val="2"/>
      <scheme val="minor"/>
    </font>
    <font>
      <sz val="44"/>
      <color theme="9" tint="-0.24994659260841701"/>
      <name val="Segoe UI Light"/>
      <family val="2"/>
      <scheme val="major"/>
    </font>
    <font>
      <sz val="14"/>
      <color theme="9" tint="-0.24994659260841701"/>
      <name val="Segoe UI Light"/>
      <family val="2"/>
      <scheme val="major"/>
    </font>
    <font>
      <sz val="10"/>
      <color theme="9" tint="-0.24994659260841701"/>
      <name val="Segoe UI Light"/>
      <family val="2"/>
      <scheme val="major"/>
    </font>
    <font>
      <sz val="8"/>
      <color theme="1" tint="0.24994659260841701"/>
      <name val="Segoe UI"/>
      <family val="2"/>
      <scheme val="minor"/>
    </font>
  </fonts>
  <fills count="6">
    <fill>
      <patternFill patternType="none"/>
    </fill>
    <fill>
      <patternFill patternType="gray125"/>
    </fill>
    <fill>
      <gradientFill degree="90">
        <stop position="0">
          <color theme="6" tint="0.40000610370189521"/>
        </stop>
        <stop position="1">
          <color rgb="FFFFFFFF"/>
        </stop>
      </gradientFill>
    </fill>
    <fill>
      <patternFill patternType="solid">
        <fgColor theme="0"/>
        <bgColor indexed="64"/>
      </patternFill>
    </fill>
    <fill>
      <patternFill patternType="solid">
        <fgColor theme="0"/>
        <bgColor auto="1"/>
      </patternFill>
    </fill>
    <fill>
      <gradientFill degree="90">
        <stop position="0">
          <color theme="0"/>
        </stop>
        <stop position="1">
          <color theme="9" tint="0.59999389629810485"/>
        </stop>
      </gradientFill>
    </fill>
  </fills>
  <borders count="1">
    <border>
      <left/>
      <right/>
      <top/>
      <bottom/>
      <diagonal/>
    </border>
  </borders>
  <cellStyleXfs count="5">
    <xf numFmtId="0" fontId="0" fillId="0" borderId="0"/>
    <xf numFmtId="0" fontId="9" fillId="3" borderId="0">
      <alignment horizontal="left"/>
    </xf>
    <xf numFmtId="0" fontId="10" fillId="4" borderId="0">
      <alignment horizontal="center" vertical="center"/>
    </xf>
    <xf numFmtId="165" fontId="11" fillId="3" borderId="0">
      <alignment horizontal="center" vertical="center"/>
    </xf>
    <xf numFmtId="1" fontId="8" fillId="0" borderId="0">
      <alignment horizontal="center" vertical="center"/>
    </xf>
  </cellStyleXfs>
  <cellXfs count="31">
    <xf numFmtId="0" fontId="0" fillId="0" borderId="0" xfId="0"/>
    <xf numFmtId="0" fontId="10" fillId="4" borderId="0" xfId="2">
      <alignment horizontal="center" vertical="center"/>
    </xf>
    <xf numFmtId="0" fontId="2" fillId="3" borderId="0" xfId="0" applyFont="1" applyFill="1"/>
    <xf numFmtId="0" fontId="2" fillId="3" borderId="0" xfId="0" applyFont="1" applyFill="1" applyAlignment="1">
      <alignment vertical="top"/>
    </xf>
    <xf numFmtId="0" fontId="2" fillId="3" borderId="0" xfId="0" applyFont="1" applyFill="1" applyAlignment="1">
      <alignment horizontal="center"/>
    </xf>
    <xf numFmtId="0" fontId="10" fillId="3" borderId="0" xfId="2" applyFill="1">
      <alignment horizontal="center" vertical="center"/>
    </xf>
    <xf numFmtId="0" fontId="2" fillId="3" borderId="0" xfId="0" applyFont="1" applyFill="1" applyBorder="1"/>
    <xf numFmtId="165" fontId="2" fillId="3" borderId="0" xfId="0" applyNumberFormat="1" applyFont="1" applyFill="1" applyBorder="1"/>
    <xf numFmtId="164" fontId="2" fillId="3" borderId="0" xfId="0" applyNumberFormat="1" applyFont="1" applyFill="1"/>
    <xf numFmtId="164" fontId="2" fillId="3" borderId="0" xfId="0" applyNumberFormat="1" applyFont="1" applyFill="1" applyAlignment="1"/>
    <xf numFmtId="0" fontId="4" fillId="3" borderId="0" xfId="0" applyFont="1" applyFill="1" applyBorder="1" applyAlignment="1">
      <alignment vertical="center"/>
    </xf>
    <xf numFmtId="0" fontId="3" fillId="3" borderId="0" xfId="0" applyFont="1" applyFill="1" applyBorder="1" applyAlignment="1">
      <alignment vertical="center"/>
    </xf>
    <xf numFmtId="1" fontId="5" fillId="3" borderId="0" xfId="4" applyFont="1" applyFill="1" applyAlignment="1">
      <alignment vertical="top"/>
    </xf>
    <xf numFmtId="0" fontId="0" fillId="3" borderId="0" xfId="0" applyFill="1"/>
    <xf numFmtId="164" fontId="7" fillId="3" borderId="0" xfId="0" applyNumberFormat="1" applyFont="1" applyFill="1" applyAlignment="1"/>
    <xf numFmtId="164" fontId="6" fillId="3" borderId="0" xfId="0" applyNumberFormat="1" applyFont="1" applyFill="1" applyAlignment="1"/>
    <xf numFmtId="1" fontId="8" fillId="4" borderId="0" xfId="4" applyFill="1" applyAlignment="1">
      <alignment vertical="center"/>
    </xf>
    <xf numFmtId="0" fontId="9" fillId="3" borderId="0" xfId="1">
      <alignment horizontal="left"/>
    </xf>
    <xf numFmtId="1" fontId="8" fillId="4" borderId="0" xfId="4" applyFill="1" applyAlignment="1">
      <alignment vertical="top"/>
    </xf>
    <xf numFmtId="165" fontId="11" fillId="3" borderId="0" xfId="3" applyNumberFormat="1">
      <alignment horizontal="center" vertical="center"/>
    </xf>
    <xf numFmtId="165" fontId="2" fillId="3" borderId="0" xfId="0" applyNumberFormat="1" applyFont="1" applyFill="1"/>
    <xf numFmtId="165" fontId="11" fillId="3" borderId="0" xfId="3" applyNumberFormat="1" applyFill="1" applyBorder="1">
      <alignment horizontal="center" vertical="center"/>
    </xf>
    <xf numFmtId="0" fontId="2" fillId="3" borderId="0" xfId="0" applyNumberFormat="1" applyFont="1" applyFill="1" applyBorder="1" applyAlignment="1">
      <alignment vertical="top"/>
    </xf>
    <xf numFmtId="0" fontId="2" fillId="3" borderId="0" xfId="0" applyNumberFormat="1" applyFont="1" applyFill="1" applyBorder="1"/>
    <xf numFmtId="0" fontId="2" fillId="3" borderId="0" xfId="0" applyNumberFormat="1" applyFont="1" applyFill="1"/>
    <xf numFmtId="0" fontId="2" fillId="3" borderId="0" xfId="0" applyNumberFormat="1" applyFont="1" applyFill="1" applyAlignment="1">
      <alignment vertical="top"/>
    </xf>
    <xf numFmtId="1" fontId="8" fillId="2" borderId="0" xfId="4" applyFill="1" applyAlignment="1">
      <alignment horizontal="center" vertical="top"/>
    </xf>
    <xf numFmtId="164" fontId="2" fillId="5" borderId="0" xfId="0" applyNumberFormat="1" applyFont="1" applyFill="1" applyAlignment="1">
      <alignment horizontal="left"/>
    </xf>
    <xf numFmtId="1" fontId="8" fillId="2" borderId="0" xfId="4" applyFill="1" applyAlignment="1">
      <alignment horizontal="right" vertical="center" indent="2"/>
    </xf>
    <xf numFmtId="1" fontId="4" fillId="2" borderId="0" xfId="4" applyFont="1" applyFill="1" applyAlignment="1">
      <alignment horizontal="left" vertical="top"/>
    </xf>
    <xf numFmtId="0" fontId="9" fillId="3" borderId="0" xfId="1">
      <alignment horizontal="left"/>
    </xf>
  </cellXfs>
  <cellStyles count="5">
    <cellStyle name="Год" xfId="4" xr:uid="{00000000-0005-0000-0000-000001000000}"/>
    <cellStyle name="Дата" xfId="3" xr:uid="{00000000-0005-0000-0000-000002000000}"/>
    <cellStyle name="День недели" xfId="2" xr:uid="{00000000-0005-0000-0000-000003000000}"/>
    <cellStyle name="Месяц" xfId="1" xr:uid="{00000000-0005-0000-0000-000004000000}"/>
    <cellStyle name="Обычный" xfId="0" builtinId="0"/>
  </cellStyles>
  <dxfs count="0"/>
  <tableStyles count="0" defaultTableStyle="TableStyleMedium9" defaultPivotStyle="PivotStyleLight16"/>
  <colors>
    <mruColors>
      <color rgb="FFE8FCF9"/>
      <color rgb="FFE5FBF8"/>
      <color rgb="FFFFFFFF"/>
      <color rgb="FF007D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pin" dx="15" fmlaLink="$Z$2" max="9999" min="1900" page="10" val="2021"/>
</file>

<file path=xl/drawings/drawing1.xml><?xml version="1.0" encoding="utf-8"?>
<xdr:wsDr xmlns:xdr="http://schemas.openxmlformats.org/drawingml/2006/spreadsheetDrawing" xmlns:a="http://schemas.openxmlformats.org/drawingml/2006/main">
  <xdr:twoCellAnchor editAs="absolute">
    <xdr:from>
      <xdr:col>0</xdr:col>
      <xdr:colOff>315540</xdr:colOff>
      <xdr:row>1</xdr:row>
      <xdr:rowOff>19053</xdr:rowOff>
    </xdr:from>
    <xdr:to>
      <xdr:col>36</xdr:col>
      <xdr:colOff>73775</xdr:colOff>
      <xdr:row>33</xdr:row>
      <xdr:rowOff>420689</xdr:rowOff>
    </xdr:to>
    <xdr:grpSp>
      <xdr:nvGrpSpPr>
        <xdr:cNvPr id="2" name="Группа 1">
          <a:extLst>
            <a:ext uri="{FF2B5EF4-FFF2-40B4-BE49-F238E27FC236}">
              <a16:creationId xmlns:a16="http://schemas.microsoft.com/office/drawing/2014/main" id="{00000000-0008-0000-0000-000002000000}"/>
            </a:ext>
          </a:extLst>
        </xdr:cNvPr>
        <xdr:cNvGrpSpPr/>
      </xdr:nvGrpSpPr>
      <xdr:grpSpPr>
        <a:xfrm>
          <a:off x="315540" y="304803"/>
          <a:ext cx="8349785" cy="6878636"/>
          <a:chOff x="315540" y="304803"/>
          <a:chExt cx="8349785" cy="6878636"/>
        </a:xfrm>
      </xdr:grpSpPr>
      <xdr:sp macro="" textlink="">
        <xdr:nvSpPr>
          <xdr:cNvPr id="31" name="Полилиния 30">
            <a:extLst>
              <a:ext uri="{FF2B5EF4-FFF2-40B4-BE49-F238E27FC236}">
                <a16:creationId xmlns:a16="http://schemas.microsoft.com/office/drawing/2014/main" id="{00000000-0008-0000-0000-00001F000000}"/>
              </a:ext>
            </a:extLst>
          </xdr:cNvPr>
          <xdr:cNvSpPr/>
        </xdr:nvSpPr>
        <xdr:spPr>
          <a:xfrm>
            <a:off x="341437" y="6165850"/>
            <a:ext cx="8306878" cy="824155"/>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9029700"/>
              <a:gd name="connsiteY0" fmla="*/ 89570 h 3775745"/>
              <a:gd name="connsiteX1" fmla="*/ 4857750 w 9029700"/>
              <a:gd name="connsiteY1" fmla="*/ 1051595 h 3775745"/>
              <a:gd name="connsiteX2" fmla="*/ 9029700 w 9029700"/>
              <a:gd name="connsiteY2" fmla="*/ 184820 h 3775745"/>
              <a:gd name="connsiteX3" fmla="*/ 8248650 w 9029700"/>
              <a:gd name="connsiteY3" fmla="*/ 3775745 h 3775745"/>
              <a:gd name="connsiteX4" fmla="*/ 0 w 9029700"/>
              <a:gd name="connsiteY4" fmla="*/ 3756695 h 3775745"/>
              <a:gd name="connsiteX5" fmla="*/ 38100 w 9029700"/>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913498"/>
              <a:gd name="connsiteY0" fmla="*/ 89570 h 3775745"/>
              <a:gd name="connsiteX1" fmla="*/ 4857750 w 9913498"/>
              <a:gd name="connsiteY1" fmla="*/ 1051595 h 3775745"/>
              <a:gd name="connsiteX2" fmla="*/ 9029700 w 9913498"/>
              <a:gd name="connsiteY2" fmla="*/ 184820 h 3775745"/>
              <a:gd name="connsiteX3" fmla="*/ 9077325 w 9913498"/>
              <a:gd name="connsiteY3" fmla="*/ 3775745 h 3775745"/>
              <a:gd name="connsiteX4" fmla="*/ 0 w 9913498"/>
              <a:gd name="connsiteY4" fmla="*/ 3756695 h 3775745"/>
              <a:gd name="connsiteX5" fmla="*/ 38100 w 9913498"/>
              <a:gd name="connsiteY5" fmla="*/ 89570 h 3775745"/>
              <a:gd name="connsiteX0" fmla="*/ 38100 w 9077325"/>
              <a:gd name="connsiteY0" fmla="*/ 89570 h 3775745"/>
              <a:gd name="connsiteX1" fmla="*/ 4857750 w 9077325"/>
              <a:gd name="connsiteY1" fmla="*/ 1051595 h 3775745"/>
              <a:gd name="connsiteX2" fmla="*/ 9029700 w 9077325"/>
              <a:gd name="connsiteY2" fmla="*/ 184820 h 3775745"/>
              <a:gd name="connsiteX3" fmla="*/ 9077325 w 9077325"/>
              <a:gd name="connsiteY3" fmla="*/ 3775745 h 3775745"/>
              <a:gd name="connsiteX4" fmla="*/ 0 w 9077325"/>
              <a:gd name="connsiteY4" fmla="*/ 3756695 h 3775745"/>
              <a:gd name="connsiteX5" fmla="*/ 38100 w 9077325"/>
              <a:gd name="connsiteY5" fmla="*/ 89570 h 3775745"/>
              <a:gd name="connsiteX0" fmla="*/ 38100 w 9077325"/>
              <a:gd name="connsiteY0" fmla="*/ 89727 h 3775902"/>
              <a:gd name="connsiteX1" fmla="*/ 4857750 w 9077325"/>
              <a:gd name="connsiteY1" fmla="*/ 1051752 h 3775902"/>
              <a:gd name="connsiteX2" fmla="*/ 9058275 w 9077325"/>
              <a:gd name="connsiteY2" fmla="*/ 204027 h 3775902"/>
              <a:gd name="connsiteX3" fmla="*/ 9077325 w 9077325"/>
              <a:gd name="connsiteY3" fmla="*/ 3775902 h 3775902"/>
              <a:gd name="connsiteX4" fmla="*/ 0 w 9077325"/>
              <a:gd name="connsiteY4" fmla="*/ 3756852 h 3775902"/>
              <a:gd name="connsiteX5" fmla="*/ 38100 w 9077325"/>
              <a:gd name="connsiteY5" fmla="*/ 89727 h 3775902"/>
              <a:gd name="connsiteX0" fmla="*/ 38100 w 9077325"/>
              <a:gd name="connsiteY0" fmla="*/ 125431 h 3811606"/>
              <a:gd name="connsiteX1" fmla="*/ 5438775 w 9077325"/>
              <a:gd name="connsiteY1" fmla="*/ 601681 h 3811606"/>
              <a:gd name="connsiteX2" fmla="*/ 9058275 w 9077325"/>
              <a:gd name="connsiteY2" fmla="*/ 239731 h 3811606"/>
              <a:gd name="connsiteX3" fmla="*/ 9077325 w 9077325"/>
              <a:gd name="connsiteY3" fmla="*/ 3811606 h 3811606"/>
              <a:gd name="connsiteX4" fmla="*/ 0 w 9077325"/>
              <a:gd name="connsiteY4" fmla="*/ 3792556 h 3811606"/>
              <a:gd name="connsiteX5" fmla="*/ 38100 w 9077325"/>
              <a:gd name="connsiteY5" fmla="*/ 125431 h 3811606"/>
              <a:gd name="connsiteX0" fmla="*/ 38100 w 9077325"/>
              <a:gd name="connsiteY0" fmla="*/ 398584 h 4084759"/>
              <a:gd name="connsiteX1" fmla="*/ 9058275 w 9077325"/>
              <a:gd name="connsiteY1" fmla="*/ 512884 h 4084759"/>
              <a:gd name="connsiteX2" fmla="*/ 9077325 w 9077325"/>
              <a:gd name="connsiteY2" fmla="*/ 4084759 h 4084759"/>
              <a:gd name="connsiteX3" fmla="*/ 0 w 9077325"/>
              <a:gd name="connsiteY3" fmla="*/ 4065709 h 4084759"/>
              <a:gd name="connsiteX4" fmla="*/ 38100 w 9077325"/>
              <a:gd name="connsiteY4" fmla="*/ 398584 h 4084759"/>
              <a:gd name="connsiteX0" fmla="*/ 38100 w 9077325"/>
              <a:gd name="connsiteY0" fmla="*/ 160220 h 3846395"/>
              <a:gd name="connsiteX1" fmla="*/ 9058275 w 9077325"/>
              <a:gd name="connsiteY1" fmla="*/ 274520 h 3846395"/>
              <a:gd name="connsiteX2" fmla="*/ 9077325 w 9077325"/>
              <a:gd name="connsiteY2" fmla="*/ 3846395 h 3846395"/>
              <a:gd name="connsiteX3" fmla="*/ 0 w 9077325"/>
              <a:gd name="connsiteY3" fmla="*/ 3827345 h 3846395"/>
              <a:gd name="connsiteX4" fmla="*/ 38100 w 9077325"/>
              <a:gd name="connsiteY4" fmla="*/ 160220 h 3846395"/>
              <a:gd name="connsiteX0" fmla="*/ 38100 w 9077325"/>
              <a:gd name="connsiteY0" fmla="*/ 372009 h 4058184"/>
              <a:gd name="connsiteX1" fmla="*/ 9058275 w 9077325"/>
              <a:gd name="connsiteY1" fmla="*/ 486309 h 4058184"/>
              <a:gd name="connsiteX2" fmla="*/ 9077325 w 9077325"/>
              <a:gd name="connsiteY2" fmla="*/ 4058184 h 4058184"/>
              <a:gd name="connsiteX3" fmla="*/ 0 w 9077325"/>
              <a:gd name="connsiteY3" fmla="*/ 4039134 h 4058184"/>
              <a:gd name="connsiteX4" fmla="*/ 38100 w 9077325"/>
              <a:gd name="connsiteY4" fmla="*/ 372009 h 4058184"/>
              <a:gd name="connsiteX0" fmla="*/ 38100 w 9077325"/>
              <a:gd name="connsiteY0" fmla="*/ 184727 h 3870902"/>
              <a:gd name="connsiteX1" fmla="*/ 5343525 w 9077325"/>
              <a:gd name="connsiteY1" fmla="*/ 637899 h 3870902"/>
              <a:gd name="connsiteX2" fmla="*/ 9058275 w 9077325"/>
              <a:gd name="connsiteY2" fmla="*/ 299027 h 3870902"/>
              <a:gd name="connsiteX3" fmla="*/ 9077325 w 9077325"/>
              <a:gd name="connsiteY3" fmla="*/ 3870902 h 3870902"/>
              <a:gd name="connsiteX4" fmla="*/ 0 w 9077325"/>
              <a:gd name="connsiteY4" fmla="*/ 3851852 h 3870902"/>
              <a:gd name="connsiteX5" fmla="*/ 38100 w 9077325"/>
              <a:gd name="connsiteY5" fmla="*/ 184727 h 3870902"/>
              <a:gd name="connsiteX0" fmla="*/ 38100 w 9077325"/>
              <a:gd name="connsiteY0" fmla="*/ 88662 h 3774837"/>
              <a:gd name="connsiteX1" fmla="*/ 5343525 w 9077325"/>
              <a:gd name="connsiteY1" fmla="*/ 541834 h 3774837"/>
              <a:gd name="connsiteX2" fmla="*/ 9058275 w 9077325"/>
              <a:gd name="connsiteY2" fmla="*/ 202962 h 3774837"/>
              <a:gd name="connsiteX3" fmla="*/ 9077325 w 9077325"/>
              <a:gd name="connsiteY3" fmla="*/ 3774837 h 3774837"/>
              <a:gd name="connsiteX4" fmla="*/ 0 w 9077325"/>
              <a:gd name="connsiteY4" fmla="*/ 3755787 h 3774837"/>
              <a:gd name="connsiteX5" fmla="*/ 38100 w 9077325"/>
              <a:gd name="connsiteY5" fmla="*/ 88662 h 3774837"/>
              <a:gd name="connsiteX0" fmla="*/ 38100 w 9077325"/>
              <a:gd name="connsiteY0" fmla="*/ 136905 h 3823080"/>
              <a:gd name="connsiteX1" fmla="*/ 5343525 w 9077325"/>
              <a:gd name="connsiteY1" fmla="*/ 590077 h 3823080"/>
              <a:gd name="connsiteX2" fmla="*/ 9058275 w 9077325"/>
              <a:gd name="connsiteY2" fmla="*/ 251205 h 3823080"/>
              <a:gd name="connsiteX3" fmla="*/ 9077325 w 9077325"/>
              <a:gd name="connsiteY3" fmla="*/ 3823080 h 3823080"/>
              <a:gd name="connsiteX4" fmla="*/ 0 w 9077325"/>
              <a:gd name="connsiteY4" fmla="*/ 3804030 h 3823080"/>
              <a:gd name="connsiteX5" fmla="*/ 38100 w 9077325"/>
              <a:gd name="connsiteY5" fmla="*/ 136905 h 3823080"/>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61146 h 3847321"/>
              <a:gd name="connsiteX1" fmla="*/ 5343525 w 9077325"/>
              <a:gd name="connsiteY1" fmla="*/ 614318 h 3847321"/>
              <a:gd name="connsiteX2" fmla="*/ 9058275 w 9077325"/>
              <a:gd name="connsiteY2" fmla="*/ 275446 h 3847321"/>
              <a:gd name="connsiteX3" fmla="*/ 9077325 w 9077325"/>
              <a:gd name="connsiteY3" fmla="*/ 3847321 h 3847321"/>
              <a:gd name="connsiteX4" fmla="*/ 0 w 9077325"/>
              <a:gd name="connsiteY4" fmla="*/ 3828271 h 3847321"/>
              <a:gd name="connsiteX5" fmla="*/ 38100 w 9077325"/>
              <a:gd name="connsiteY5" fmla="*/ 161146 h 3847321"/>
              <a:gd name="connsiteX0" fmla="*/ 38100 w 9077325"/>
              <a:gd name="connsiteY0" fmla="*/ 173396 h 3859571"/>
              <a:gd name="connsiteX1" fmla="*/ 5343525 w 9077325"/>
              <a:gd name="connsiteY1" fmla="*/ 626568 h 3859571"/>
              <a:gd name="connsiteX2" fmla="*/ 9058275 w 9077325"/>
              <a:gd name="connsiteY2" fmla="*/ 287696 h 3859571"/>
              <a:gd name="connsiteX3" fmla="*/ 9077325 w 9077325"/>
              <a:gd name="connsiteY3" fmla="*/ 3859571 h 3859571"/>
              <a:gd name="connsiteX4" fmla="*/ 0 w 9077325"/>
              <a:gd name="connsiteY4" fmla="*/ 3840521 h 3859571"/>
              <a:gd name="connsiteX5" fmla="*/ 38100 w 9077325"/>
              <a:gd name="connsiteY5" fmla="*/ 173396 h 3859571"/>
              <a:gd name="connsiteX0" fmla="*/ 38100 w 9077325"/>
              <a:gd name="connsiteY0" fmla="*/ 100967 h 3787142"/>
              <a:gd name="connsiteX1" fmla="*/ 5343525 w 9077325"/>
              <a:gd name="connsiteY1" fmla="*/ 554139 h 3787142"/>
              <a:gd name="connsiteX2" fmla="*/ 9058275 w 9077325"/>
              <a:gd name="connsiteY2" fmla="*/ 215267 h 3787142"/>
              <a:gd name="connsiteX3" fmla="*/ 9077325 w 9077325"/>
              <a:gd name="connsiteY3" fmla="*/ 3787142 h 3787142"/>
              <a:gd name="connsiteX4" fmla="*/ 0 w 9077325"/>
              <a:gd name="connsiteY4" fmla="*/ 3768092 h 3787142"/>
              <a:gd name="connsiteX5" fmla="*/ 38100 w 9077325"/>
              <a:gd name="connsiteY5" fmla="*/ 100967 h 3787142"/>
              <a:gd name="connsiteX0" fmla="*/ 38100 w 9077325"/>
              <a:gd name="connsiteY0" fmla="*/ 128441 h 3814616"/>
              <a:gd name="connsiteX1" fmla="*/ 5343525 w 9077325"/>
              <a:gd name="connsiteY1" fmla="*/ 581613 h 3814616"/>
              <a:gd name="connsiteX2" fmla="*/ 9058275 w 9077325"/>
              <a:gd name="connsiteY2" fmla="*/ 242741 h 3814616"/>
              <a:gd name="connsiteX3" fmla="*/ 9077325 w 9077325"/>
              <a:gd name="connsiteY3" fmla="*/ 3814616 h 3814616"/>
              <a:gd name="connsiteX4" fmla="*/ 0 w 9077325"/>
              <a:gd name="connsiteY4" fmla="*/ 3795566 h 3814616"/>
              <a:gd name="connsiteX5" fmla="*/ 38100 w 9077325"/>
              <a:gd name="connsiteY5" fmla="*/ 128441 h 381461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8031 h 3804206"/>
              <a:gd name="connsiteX1" fmla="*/ 5343525 w 9077325"/>
              <a:gd name="connsiteY1" fmla="*/ 571203 h 3804206"/>
              <a:gd name="connsiteX2" fmla="*/ 9058275 w 9077325"/>
              <a:gd name="connsiteY2" fmla="*/ 232331 h 3804206"/>
              <a:gd name="connsiteX3" fmla="*/ 9077325 w 9077325"/>
              <a:gd name="connsiteY3" fmla="*/ 3804206 h 3804206"/>
              <a:gd name="connsiteX4" fmla="*/ 0 w 9077325"/>
              <a:gd name="connsiteY4" fmla="*/ 3785156 h 3804206"/>
              <a:gd name="connsiteX5" fmla="*/ 38100 w 9077325"/>
              <a:gd name="connsiteY5" fmla="*/ 118031 h 3804206"/>
              <a:gd name="connsiteX0" fmla="*/ 38100 w 9077325"/>
              <a:gd name="connsiteY0" fmla="*/ 112890 h 3799065"/>
              <a:gd name="connsiteX1" fmla="*/ 5553075 w 9077325"/>
              <a:gd name="connsiteY1" fmla="*/ 604162 h 3799065"/>
              <a:gd name="connsiteX2" fmla="*/ 9058275 w 9077325"/>
              <a:gd name="connsiteY2" fmla="*/ 227190 h 3799065"/>
              <a:gd name="connsiteX3" fmla="*/ 9077325 w 9077325"/>
              <a:gd name="connsiteY3" fmla="*/ 3799065 h 3799065"/>
              <a:gd name="connsiteX4" fmla="*/ 0 w 9077325"/>
              <a:gd name="connsiteY4" fmla="*/ 3780015 h 3799065"/>
              <a:gd name="connsiteX5" fmla="*/ 38100 w 9077325"/>
              <a:gd name="connsiteY5" fmla="*/ 112890 h 3799065"/>
              <a:gd name="connsiteX0" fmla="*/ 38100 w 9077325"/>
              <a:gd name="connsiteY0" fmla="*/ 98837 h 3785012"/>
              <a:gd name="connsiteX1" fmla="*/ 5553075 w 9077325"/>
              <a:gd name="connsiteY1" fmla="*/ 590109 h 3785012"/>
              <a:gd name="connsiteX2" fmla="*/ 9058275 w 9077325"/>
              <a:gd name="connsiteY2" fmla="*/ 213137 h 3785012"/>
              <a:gd name="connsiteX3" fmla="*/ 9077325 w 9077325"/>
              <a:gd name="connsiteY3" fmla="*/ 3785012 h 3785012"/>
              <a:gd name="connsiteX4" fmla="*/ 0 w 9077325"/>
              <a:gd name="connsiteY4" fmla="*/ 3765962 h 3785012"/>
              <a:gd name="connsiteX5" fmla="*/ 38100 w 9077325"/>
              <a:gd name="connsiteY5" fmla="*/ 98837 h 3785012"/>
              <a:gd name="connsiteX0" fmla="*/ 38100 w 9077325"/>
              <a:gd name="connsiteY0" fmla="*/ 89054 h 3775229"/>
              <a:gd name="connsiteX1" fmla="*/ 5553075 w 9077325"/>
              <a:gd name="connsiteY1" fmla="*/ 580326 h 3775229"/>
              <a:gd name="connsiteX2" fmla="*/ 9058275 w 9077325"/>
              <a:gd name="connsiteY2" fmla="*/ 203354 h 3775229"/>
              <a:gd name="connsiteX3" fmla="*/ 9077325 w 9077325"/>
              <a:gd name="connsiteY3" fmla="*/ 3775229 h 3775229"/>
              <a:gd name="connsiteX4" fmla="*/ 0 w 9077325"/>
              <a:gd name="connsiteY4" fmla="*/ 3756179 h 3775229"/>
              <a:gd name="connsiteX5" fmla="*/ 38100 w 9077325"/>
              <a:gd name="connsiteY5" fmla="*/ 89054 h 377522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38100 w 9077325"/>
              <a:gd name="connsiteY0" fmla="*/ 120824 h 3806999"/>
              <a:gd name="connsiteX1" fmla="*/ 5553075 w 9077325"/>
              <a:gd name="connsiteY1" fmla="*/ 612096 h 3806999"/>
              <a:gd name="connsiteX2" fmla="*/ 9058275 w 9077325"/>
              <a:gd name="connsiteY2" fmla="*/ 235124 h 3806999"/>
              <a:gd name="connsiteX3" fmla="*/ 9077325 w 9077325"/>
              <a:gd name="connsiteY3" fmla="*/ 3806999 h 3806999"/>
              <a:gd name="connsiteX4" fmla="*/ 0 w 9077325"/>
              <a:gd name="connsiteY4" fmla="*/ 3787949 h 3806999"/>
              <a:gd name="connsiteX5" fmla="*/ 38100 w 9077325"/>
              <a:gd name="connsiteY5" fmla="*/ 120824 h 3806999"/>
              <a:gd name="connsiteX0" fmla="*/ 0 w 9039225"/>
              <a:gd name="connsiteY0" fmla="*/ 120824 h 3806999"/>
              <a:gd name="connsiteX1" fmla="*/ 5514975 w 9039225"/>
              <a:gd name="connsiteY1" fmla="*/ 612096 h 3806999"/>
              <a:gd name="connsiteX2" fmla="*/ 9020175 w 9039225"/>
              <a:gd name="connsiteY2" fmla="*/ 235124 h 3806999"/>
              <a:gd name="connsiteX3" fmla="*/ 9039225 w 9039225"/>
              <a:gd name="connsiteY3" fmla="*/ 3806999 h 3806999"/>
              <a:gd name="connsiteX4" fmla="*/ 0 w 9039225"/>
              <a:gd name="connsiteY4" fmla="*/ 730424 h 3806999"/>
              <a:gd name="connsiteX5" fmla="*/ 0 w 9039225"/>
              <a:gd name="connsiteY5" fmla="*/ 120824 h 3806999"/>
              <a:gd name="connsiteX0" fmla="*/ 0 w 9039225"/>
              <a:gd name="connsiteY0" fmla="*/ 120824 h 1016174"/>
              <a:gd name="connsiteX1" fmla="*/ 5514975 w 9039225"/>
              <a:gd name="connsiteY1" fmla="*/ 612096 h 1016174"/>
              <a:gd name="connsiteX2" fmla="*/ 9020175 w 9039225"/>
              <a:gd name="connsiteY2" fmla="*/ 235124 h 1016174"/>
              <a:gd name="connsiteX3" fmla="*/ 9039225 w 9039225"/>
              <a:gd name="connsiteY3" fmla="*/ 1016174 h 1016174"/>
              <a:gd name="connsiteX4" fmla="*/ 0 w 9039225"/>
              <a:gd name="connsiteY4" fmla="*/ 730424 h 1016174"/>
              <a:gd name="connsiteX5" fmla="*/ 0 w 9039225"/>
              <a:gd name="connsiteY5" fmla="*/ 120824 h 1016174"/>
              <a:gd name="connsiteX0" fmla="*/ 0 w 9039225"/>
              <a:gd name="connsiteY0" fmla="*/ 120824 h 1073324"/>
              <a:gd name="connsiteX1" fmla="*/ 5514975 w 9039225"/>
              <a:gd name="connsiteY1" fmla="*/ 612096 h 1073324"/>
              <a:gd name="connsiteX2" fmla="*/ 9020175 w 9039225"/>
              <a:gd name="connsiteY2" fmla="*/ 235124 h 1073324"/>
              <a:gd name="connsiteX3" fmla="*/ 9039225 w 9039225"/>
              <a:gd name="connsiteY3" fmla="*/ 1016174 h 1073324"/>
              <a:gd name="connsiteX4" fmla="*/ 0 w 9039225"/>
              <a:gd name="connsiteY4" fmla="*/ 1073324 h 1073324"/>
              <a:gd name="connsiteX5" fmla="*/ 0 w 9039225"/>
              <a:gd name="connsiteY5" fmla="*/ 120824 h 1073324"/>
              <a:gd name="connsiteX0" fmla="*/ 0 w 9020175"/>
              <a:gd name="connsiteY0" fmla="*/ 120824 h 1073324"/>
              <a:gd name="connsiteX1" fmla="*/ 5514975 w 9020175"/>
              <a:gd name="connsiteY1" fmla="*/ 612096 h 1073324"/>
              <a:gd name="connsiteX2" fmla="*/ 9020175 w 9020175"/>
              <a:gd name="connsiteY2" fmla="*/ 235124 h 1073324"/>
              <a:gd name="connsiteX3" fmla="*/ 9001125 w 9020175"/>
              <a:gd name="connsiteY3" fmla="*/ 1054274 h 1073324"/>
              <a:gd name="connsiteX4" fmla="*/ 0 w 9020175"/>
              <a:gd name="connsiteY4" fmla="*/ 1073324 h 1073324"/>
              <a:gd name="connsiteX5" fmla="*/ 0 w 9020175"/>
              <a:gd name="connsiteY5" fmla="*/ 120824 h 1073324"/>
              <a:gd name="connsiteX0" fmla="*/ 19050 w 9039225"/>
              <a:gd name="connsiteY0" fmla="*/ 120824 h 3121199"/>
              <a:gd name="connsiteX1" fmla="*/ 5534025 w 9039225"/>
              <a:gd name="connsiteY1" fmla="*/ 612096 h 3121199"/>
              <a:gd name="connsiteX2" fmla="*/ 9039225 w 9039225"/>
              <a:gd name="connsiteY2" fmla="*/ 235124 h 3121199"/>
              <a:gd name="connsiteX3" fmla="*/ 9020175 w 9039225"/>
              <a:gd name="connsiteY3" fmla="*/ 1054274 h 3121199"/>
              <a:gd name="connsiteX4" fmla="*/ 0 w 9039225"/>
              <a:gd name="connsiteY4" fmla="*/ 3121199 h 3121199"/>
              <a:gd name="connsiteX5" fmla="*/ 19050 w 9039225"/>
              <a:gd name="connsiteY5" fmla="*/ 120824 h 3121199"/>
              <a:gd name="connsiteX0" fmla="*/ 19050 w 9163050"/>
              <a:gd name="connsiteY0" fmla="*/ 120824 h 3197399"/>
              <a:gd name="connsiteX1" fmla="*/ 5534025 w 9163050"/>
              <a:gd name="connsiteY1" fmla="*/ 612096 h 3197399"/>
              <a:gd name="connsiteX2" fmla="*/ 9039225 w 9163050"/>
              <a:gd name="connsiteY2" fmla="*/ 235124 h 3197399"/>
              <a:gd name="connsiteX3" fmla="*/ 9163050 w 9163050"/>
              <a:gd name="connsiteY3" fmla="*/ 3197399 h 3197399"/>
              <a:gd name="connsiteX4" fmla="*/ 0 w 9163050"/>
              <a:gd name="connsiteY4" fmla="*/ 3121199 h 3197399"/>
              <a:gd name="connsiteX5" fmla="*/ 19050 w 9163050"/>
              <a:gd name="connsiteY5" fmla="*/ 120824 h 3197399"/>
              <a:gd name="connsiteX0" fmla="*/ 0 w 9144000"/>
              <a:gd name="connsiteY0" fmla="*/ 120824 h 3197399"/>
              <a:gd name="connsiteX1" fmla="*/ 5514975 w 9144000"/>
              <a:gd name="connsiteY1" fmla="*/ 612096 h 3197399"/>
              <a:gd name="connsiteX2" fmla="*/ 9020175 w 9144000"/>
              <a:gd name="connsiteY2" fmla="*/ 235124 h 3197399"/>
              <a:gd name="connsiteX3" fmla="*/ 9144000 w 9144000"/>
              <a:gd name="connsiteY3" fmla="*/ 3197399 h 3197399"/>
              <a:gd name="connsiteX4" fmla="*/ 9525 w 9144000"/>
              <a:gd name="connsiteY4" fmla="*/ 1330499 h 3197399"/>
              <a:gd name="connsiteX5" fmla="*/ 0 w 9144000"/>
              <a:gd name="connsiteY5" fmla="*/ 120824 h 3197399"/>
              <a:gd name="connsiteX0" fmla="*/ 0 w 9096375"/>
              <a:gd name="connsiteY0" fmla="*/ 120824 h 1530524"/>
              <a:gd name="connsiteX1" fmla="*/ 5514975 w 9096375"/>
              <a:gd name="connsiteY1" fmla="*/ 612096 h 1530524"/>
              <a:gd name="connsiteX2" fmla="*/ 9020175 w 9096375"/>
              <a:gd name="connsiteY2" fmla="*/ 235124 h 1530524"/>
              <a:gd name="connsiteX3" fmla="*/ 9096375 w 9096375"/>
              <a:gd name="connsiteY3" fmla="*/ 1530524 h 1530524"/>
              <a:gd name="connsiteX4" fmla="*/ 9525 w 9096375"/>
              <a:gd name="connsiteY4" fmla="*/ 1330499 h 1530524"/>
              <a:gd name="connsiteX5" fmla="*/ 0 w 9096375"/>
              <a:gd name="connsiteY5" fmla="*/ 120824 h 1530524"/>
              <a:gd name="connsiteX0" fmla="*/ 0 w 9096375"/>
              <a:gd name="connsiteY0" fmla="*/ 0 h 1409700"/>
              <a:gd name="connsiteX1" fmla="*/ 5514975 w 9096375"/>
              <a:gd name="connsiteY1" fmla="*/ 491272 h 1409700"/>
              <a:gd name="connsiteX2" fmla="*/ 9020175 w 9096375"/>
              <a:gd name="connsiteY2" fmla="*/ 1143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514975 w 9096375"/>
              <a:gd name="connsiteY1" fmla="*/ 491272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0 h 1409700"/>
              <a:gd name="connsiteX1" fmla="*/ 5429250 w 9096375"/>
              <a:gd name="connsiteY1" fmla="*/ 824647 h 1409700"/>
              <a:gd name="connsiteX2" fmla="*/ 9029700 w 9096375"/>
              <a:gd name="connsiteY2" fmla="*/ 533400 h 1409700"/>
              <a:gd name="connsiteX3" fmla="*/ 9096375 w 9096375"/>
              <a:gd name="connsiteY3" fmla="*/ 1409700 h 1409700"/>
              <a:gd name="connsiteX4" fmla="*/ 9525 w 9096375"/>
              <a:gd name="connsiteY4" fmla="*/ 1209675 h 1409700"/>
              <a:gd name="connsiteX5" fmla="*/ 0 w 9096375"/>
              <a:gd name="connsiteY5" fmla="*/ 0 h 1409700"/>
              <a:gd name="connsiteX0" fmla="*/ 0 w 9096375"/>
              <a:gd name="connsiteY0" fmla="*/ 19169 h 1428869"/>
              <a:gd name="connsiteX1" fmla="*/ 9029700 w 9096375"/>
              <a:gd name="connsiteY1" fmla="*/ 552569 h 1428869"/>
              <a:gd name="connsiteX2" fmla="*/ 9096375 w 9096375"/>
              <a:gd name="connsiteY2" fmla="*/ 1428869 h 1428869"/>
              <a:gd name="connsiteX3" fmla="*/ 9525 w 9096375"/>
              <a:gd name="connsiteY3" fmla="*/ 1228844 h 1428869"/>
              <a:gd name="connsiteX4" fmla="*/ 0 w 9096375"/>
              <a:gd name="connsiteY4" fmla="*/ 19169 h 1428869"/>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096375"/>
              <a:gd name="connsiteY0" fmla="*/ 0 h 1409700"/>
              <a:gd name="connsiteX1" fmla="*/ 9029700 w 9096375"/>
              <a:gd name="connsiteY1" fmla="*/ 533400 h 1409700"/>
              <a:gd name="connsiteX2" fmla="*/ 9096375 w 9096375"/>
              <a:gd name="connsiteY2" fmla="*/ 1409700 h 1409700"/>
              <a:gd name="connsiteX3" fmla="*/ 9525 w 9096375"/>
              <a:gd name="connsiteY3" fmla="*/ 1209675 h 1409700"/>
              <a:gd name="connsiteX4" fmla="*/ 0 w 9096375"/>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523875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409700"/>
              <a:gd name="connsiteX1" fmla="*/ 9105900 w 9105900"/>
              <a:gd name="connsiteY1" fmla="*/ 401411 h 1409700"/>
              <a:gd name="connsiteX2" fmla="*/ 9096375 w 9105900"/>
              <a:gd name="connsiteY2" fmla="*/ 1409700 h 1409700"/>
              <a:gd name="connsiteX3" fmla="*/ 9525 w 9105900"/>
              <a:gd name="connsiteY3" fmla="*/ 1209675 h 1409700"/>
              <a:gd name="connsiteX4" fmla="*/ 0 w 9105900"/>
              <a:gd name="connsiteY4" fmla="*/ 0 h 1409700"/>
              <a:gd name="connsiteX0" fmla="*/ 0 w 9105900"/>
              <a:gd name="connsiteY0" fmla="*/ 0 h 1209675"/>
              <a:gd name="connsiteX1" fmla="*/ 9105900 w 9105900"/>
              <a:gd name="connsiteY1" fmla="*/ 401411 h 1209675"/>
              <a:gd name="connsiteX2" fmla="*/ 8917572 w 9105900"/>
              <a:gd name="connsiteY2" fmla="*/ 687088 h 1209675"/>
              <a:gd name="connsiteX3" fmla="*/ 9525 w 9105900"/>
              <a:gd name="connsiteY3" fmla="*/ 1209675 h 1209675"/>
              <a:gd name="connsiteX4" fmla="*/ 0 w 9105900"/>
              <a:gd name="connsiteY4" fmla="*/ 0 h 1209675"/>
              <a:gd name="connsiteX0" fmla="*/ 0 w 8956897"/>
              <a:gd name="connsiteY0" fmla="*/ 0 h 1209675"/>
              <a:gd name="connsiteX1" fmla="*/ 8956897 w 8956897"/>
              <a:gd name="connsiteY1" fmla="*/ 393105 h 1209675"/>
              <a:gd name="connsiteX2" fmla="*/ 8917572 w 8956897"/>
              <a:gd name="connsiteY2" fmla="*/ 687088 h 1209675"/>
              <a:gd name="connsiteX3" fmla="*/ 9525 w 8956897"/>
              <a:gd name="connsiteY3" fmla="*/ 1209675 h 1209675"/>
              <a:gd name="connsiteX4" fmla="*/ 0 w 8956897"/>
              <a:gd name="connsiteY4" fmla="*/ 0 h 1209675"/>
              <a:gd name="connsiteX0" fmla="*/ 409 w 8957306"/>
              <a:gd name="connsiteY0" fmla="*/ 0 h 711322"/>
              <a:gd name="connsiteX1" fmla="*/ 8957306 w 8957306"/>
              <a:gd name="connsiteY1" fmla="*/ 393105 h 711322"/>
              <a:gd name="connsiteX2" fmla="*/ 8917981 w 8957306"/>
              <a:gd name="connsiteY2" fmla="*/ 687088 h 711322"/>
              <a:gd name="connsiteX3" fmla="*/ 0 w 8957306"/>
              <a:gd name="connsiteY3" fmla="*/ 711322 h 711322"/>
              <a:gd name="connsiteX4" fmla="*/ 409 w 8957306"/>
              <a:gd name="connsiteY4" fmla="*/ 0 h 711322"/>
              <a:gd name="connsiteX0" fmla="*/ 1 w 8956898"/>
              <a:gd name="connsiteY0" fmla="*/ 0 h 711322"/>
              <a:gd name="connsiteX1" fmla="*/ 8956898 w 8956898"/>
              <a:gd name="connsiteY1" fmla="*/ 393105 h 711322"/>
              <a:gd name="connsiteX2" fmla="*/ 8917573 w 8956898"/>
              <a:gd name="connsiteY2" fmla="*/ 687088 h 711322"/>
              <a:gd name="connsiteX3" fmla="*/ 29393 w 8956898"/>
              <a:gd name="connsiteY3" fmla="*/ 711322 h 711322"/>
              <a:gd name="connsiteX4" fmla="*/ 1 w 8956898"/>
              <a:gd name="connsiteY4" fmla="*/ 0 h 711322"/>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44875"/>
              <a:gd name="connsiteX1" fmla="*/ 8946964 w 8946964"/>
              <a:gd name="connsiteY1" fmla="*/ 326658 h 644875"/>
              <a:gd name="connsiteX2" fmla="*/ 8907639 w 8946964"/>
              <a:gd name="connsiteY2" fmla="*/ 620641 h 644875"/>
              <a:gd name="connsiteX3" fmla="*/ 19459 w 8946964"/>
              <a:gd name="connsiteY3" fmla="*/ 644875 h 644875"/>
              <a:gd name="connsiteX4" fmla="*/ 1 w 8946964"/>
              <a:gd name="connsiteY4" fmla="*/ 0 h 644875"/>
              <a:gd name="connsiteX0" fmla="*/ 1 w 8946964"/>
              <a:gd name="connsiteY0" fmla="*/ 0 h 652841"/>
              <a:gd name="connsiteX1" fmla="*/ 8946964 w 8946964"/>
              <a:gd name="connsiteY1" fmla="*/ 326658 h 652841"/>
              <a:gd name="connsiteX2" fmla="*/ 8931345 w 8946964"/>
              <a:gd name="connsiteY2" fmla="*/ 652841 h 652841"/>
              <a:gd name="connsiteX3" fmla="*/ 19459 w 8946964"/>
              <a:gd name="connsiteY3" fmla="*/ 644875 h 652841"/>
              <a:gd name="connsiteX4" fmla="*/ 1 w 8946964"/>
              <a:gd name="connsiteY4" fmla="*/ 0 h 652841"/>
              <a:gd name="connsiteX0" fmla="*/ 12149 w 8927505"/>
              <a:gd name="connsiteY0" fmla="*/ 0 h 665721"/>
              <a:gd name="connsiteX1" fmla="*/ 8927505 w 8927505"/>
              <a:gd name="connsiteY1" fmla="*/ 339538 h 665721"/>
              <a:gd name="connsiteX2" fmla="*/ 8911886 w 8927505"/>
              <a:gd name="connsiteY2" fmla="*/ 665721 h 665721"/>
              <a:gd name="connsiteX3" fmla="*/ 0 w 8927505"/>
              <a:gd name="connsiteY3" fmla="*/ 657755 h 665721"/>
              <a:gd name="connsiteX4" fmla="*/ 12149 w 8927505"/>
              <a:gd name="connsiteY4" fmla="*/ 0 h 665721"/>
              <a:gd name="connsiteX0" fmla="*/ 4 w 8915360"/>
              <a:gd name="connsiteY0" fmla="*/ 0 h 665721"/>
              <a:gd name="connsiteX1" fmla="*/ 8915360 w 8915360"/>
              <a:gd name="connsiteY1" fmla="*/ 339538 h 665721"/>
              <a:gd name="connsiteX2" fmla="*/ 8899741 w 8915360"/>
              <a:gd name="connsiteY2" fmla="*/ 665721 h 665721"/>
              <a:gd name="connsiteX3" fmla="*/ 3658 w 8915360"/>
              <a:gd name="connsiteY3" fmla="*/ 651315 h 665721"/>
              <a:gd name="connsiteX4" fmla="*/ 4 w 8915360"/>
              <a:gd name="connsiteY4" fmla="*/ 0 h 665721"/>
              <a:gd name="connsiteX0" fmla="*/ 4 w 8915360"/>
              <a:gd name="connsiteY0" fmla="*/ 0 h 659281"/>
              <a:gd name="connsiteX1" fmla="*/ 8915360 w 8915360"/>
              <a:gd name="connsiteY1" fmla="*/ 339538 h 659281"/>
              <a:gd name="connsiteX2" fmla="*/ 8907643 w 8915360"/>
              <a:gd name="connsiteY2" fmla="*/ 659281 h 659281"/>
              <a:gd name="connsiteX3" fmla="*/ 3658 w 8915360"/>
              <a:gd name="connsiteY3" fmla="*/ 651315 h 659281"/>
              <a:gd name="connsiteX4" fmla="*/ 4 w 8915360"/>
              <a:gd name="connsiteY4" fmla="*/ 0 h 659281"/>
              <a:gd name="connsiteX0" fmla="*/ 4 w 8907643"/>
              <a:gd name="connsiteY0" fmla="*/ 0 h 659281"/>
              <a:gd name="connsiteX1" fmla="*/ 8875852 w 8907643"/>
              <a:gd name="connsiteY1" fmla="*/ 333098 h 659281"/>
              <a:gd name="connsiteX2" fmla="*/ 8907643 w 8907643"/>
              <a:gd name="connsiteY2" fmla="*/ 659281 h 659281"/>
              <a:gd name="connsiteX3" fmla="*/ 3658 w 8907643"/>
              <a:gd name="connsiteY3" fmla="*/ 651315 h 659281"/>
              <a:gd name="connsiteX4" fmla="*/ 4 w 8907643"/>
              <a:gd name="connsiteY4" fmla="*/ 0 h 659281"/>
              <a:gd name="connsiteX0" fmla="*/ 4 w 8875852"/>
              <a:gd name="connsiteY0" fmla="*/ 0 h 659281"/>
              <a:gd name="connsiteX1" fmla="*/ 8875852 w 8875852"/>
              <a:gd name="connsiteY1" fmla="*/ 333098 h 659281"/>
              <a:gd name="connsiteX2" fmla="*/ 8868134 w 8875852"/>
              <a:gd name="connsiteY2" fmla="*/ 659281 h 659281"/>
              <a:gd name="connsiteX3" fmla="*/ 3658 w 8875852"/>
              <a:gd name="connsiteY3" fmla="*/ 651315 h 659281"/>
              <a:gd name="connsiteX4" fmla="*/ 4 w 8875852"/>
              <a:gd name="connsiteY4" fmla="*/ 0 h 659281"/>
              <a:gd name="connsiteX0" fmla="*/ 4 w 8875852"/>
              <a:gd name="connsiteY0" fmla="*/ 0 h 700958"/>
              <a:gd name="connsiteX1" fmla="*/ 8875852 w 8875852"/>
              <a:gd name="connsiteY1" fmla="*/ 333098 h 700958"/>
              <a:gd name="connsiteX2" fmla="*/ 8794042 w 8875852"/>
              <a:gd name="connsiteY2" fmla="*/ 700958 h 700958"/>
              <a:gd name="connsiteX3" fmla="*/ 3658 w 8875852"/>
              <a:gd name="connsiteY3" fmla="*/ 651315 h 700958"/>
              <a:gd name="connsiteX4" fmla="*/ 4 w 8875852"/>
              <a:gd name="connsiteY4" fmla="*/ 0 h 700958"/>
              <a:gd name="connsiteX0" fmla="*/ 4 w 8823988"/>
              <a:gd name="connsiteY0" fmla="*/ 0 h 700958"/>
              <a:gd name="connsiteX1" fmla="*/ 8823988 w 8823988"/>
              <a:gd name="connsiteY1" fmla="*/ 339051 h 700958"/>
              <a:gd name="connsiteX2" fmla="*/ 8794042 w 8823988"/>
              <a:gd name="connsiteY2" fmla="*/ 700958 h 700958"/>
              <a:gd name="connsiteX3" fmla="*/ 3658 w 8823988"/>
              <a:gd name="connsiteY3" fmla="*/ 651315 h 700958"/>
              <a:gd name="connsiteX4" fmla="*/ 4 w 8823988"/>
              <a:gd name="connsiteY4" fmla="*/ 0 h 700958"/>
              <a:gd name="connsiteX0" fmla="*/ 4 w 8816579"/>
              <a:gd name="connsiteY0" fmla="*/ 0 h 700958"/>
              <a:gd name="connsiteX1" fmla="*/ 8816579 w 8816579"/>
              <a:gd name="connsiteY1" fmla="*/ 356913 h 700958"/>
              <a:gd name="connsiteX2" fmla="*/ 8794042 w 8816579"/>
              <a:gd name="connsiteY2" fmla="*/ 700958 h 700958"/>
              <a:gd name="connsiteX3" fmla="*/ 3658 w 8816579"/>
              <a:gd name="connsiteY3" fmla="*/ 651315 h 700958"/>
              <a:gd name="connsiteX4" fmla="*/ 4 w 8816579"/>
              <a:gd name="connsiteY4" fmla="*/ 0 h 700958"/>
              <a:gd name="connsiteX0" fmla="*/ 4 w 8816579"/>
              <a:gd name="connsiteY0" fmla="*/ 0 h 700958"/>
              <a:gd name="connsiteX1" fmla="*/ 8816579 w 8816579"/>
              <a:gd name="connsiteY1" fmla="*/ 350959 h 700958"/>
              <a:gd name="connsiteX2" fmla="*/ 8794042 w 8816579"/>
              <a:gd name="connsiteY2" fmla="*/ 700958 h 700958"/>
              <a:gd name="connsiteX3" fmla="*/ 3658 w 8816579"/>
              <a:gd name="connsiteY3" fmla="*/ 651315 h 700958"/>
              <a:gd name="connsiteX4" fmla="*/ 4 w 8816579"/>
              <a:gd name="connsiteY4" fmla="*/ 0 h 700958"/>
              <a:gd name="connsiteX0" fmla="*/ 1 w 8816576"/>
              <a:gd name="connsiteY0" fmla="*/ 0 h 700958"/>
              <a:gd name="connsiteX1" fmla="*/ 8816576 w 8816576"/>
              <a:gd name="connsiteY1" fmla="*/ 350959 h 700958"/>
              <a:gd name="connsiteX2" fmla="*/ 8794039 w 8816576"/>
              <a:gd name="connsiteY2" fmla="*/ 700958 h 700958"/>
              <a:gd name="connsiteX3" fmla="*/ 33291 w 8816576"/>
              <a:gd name="connsiteY3" fmla="*/ 692992 h 700958"/>
              <a:gd name="connsiteX4" fmla="*/ 1 w 8816576"/>
              <a:gd name="connsiteY4" fmla="*/ 0 h 700958"/>
              <a:gd name="connsiteX0" fmla="*/ 1 w 8801758"/>
              <a:gd name="connsiteY0" fmla="*/ 0 h 677143"/>
              <a:gd name="connsiteX1" fmla="*/ 8801758 w 8801758"/>
              <a:gd name="connsiteY1" fmla="*/ 327144 h 677143"/>
              <a:gd name="connsiteX2" fmla="*/ 8779221 w 8801758"/>
              <a:gd name="connsiteY2" fmla="*/ 677143 h 677143"/>
              <a:gd name="connsiteX3" fmla="*/ 18473 w 8801758"/>
              <a:gd name="connsiteY3" fmla="*/ 669177 h 677143"/>
              <a:gd name="connsiteX4" fmla="*/ 1 w 8801758"/>
              <a:gd name="connsiteY4" fmla="*/ 0 h 677143"/>
              <a:gd name="connsiteX0" fmla="*/ 3 w 8801760"/>
              <a:gd name="connsiteY0" fmla="*/ 0 h 677143"/>
              <a:gd name="connsiteX1" fmla="*/ 8801760 w 8801760"/>
              <a:gd name="connsiteY1" fmla="*/ 327144 h 677143"/>
              <a:gd name="connsiteX2" fmla="*/ 8779223 w 8801760"/>
              <a:gd name="connsiteY2" fmla="*/ 677143 h 677143"/>
              <a:gd name="connsiteX3" fmla="*/ 3656 w 8801760"/>
              <a:gd name="connsiteY3" fmla="*/ 675131 h 677143"/>
              <a:gd name="connsiteX4" fmla="*/ 3 w 8801760"/>
              <a:gd name="connsiteY4" fmla="*/ 0 h 677143"/>
              <a:gd name="connsiteX0" fmla="*/ 3756 w 8798104"/>
              <a:gd name="connsiteY0" fmla="*/ 0 h 677143"/>
              <a:gd name="connsiteX1" fmla="*/ 8798104 w 8798104"/>
              <a:gd name="connsiteY1" fmla="*/ 327144 h 677143"/>
              <a:gd name="connsiteX2" fmla="*/ 8775567 w 8798104"/>
              <a:gd name="connsiteY2" fmla="*/ 677143 h 677143"/>
              <a:gd name="connsiteX3" fmla="*/ 0 w 8798104"/>
              <a:gd name="connsiteY3" fmla="*/ 675131 h 677143"/>
              <a:gd name="connsiteX4" fmla="*/ 3756 w 8798104"/>
              <a:gd name="connsiteY4" fmla="*/ 0 h 677143"/>
              <a:gd name="connsiteX0" fmla="*/ 3756 w 8798104"/>
              <a:gd name="connsiteY0" fmla="*/ 0 h 675131"/>
              <a:gd name="connsiteX1" fmla="*/ 8798104 w 8798104"/>
              <a:gd name="connsiteY1" fmla="*/ 327144 h 675131"/>
              <a:gd name="connsiteX2" fmla="*/ 8472725 w 8798104"/>
              <a:gd name="connsiteY2" fmla="*/ 630922 h 675131"/>
              <a:gd name="connsiteX3" fmla="*/ 0 w 8798104"/>
              <a:gd name="connsiteY3" fmla="*/ 675131 h 675131"/>
              <a:gd name="connsiteX4" fmla="*/ 3756 w 8798104"/>
              <a:gd name="connsiteY4" fmla="*/ 0 h 675131"/>
              <a:gd name="connsiteX0" fmla="*/ 3756 w 8514189"/>
              <a:gd name="connsiteY0" fmla="*/ 0 h 675131"/>
              <a:gd name="connsiteX1" fmla="*/ 8514189 w 8514189"/>
              <a:gd name="connsiteY1" fmla="*/ 296330 h 675131"/>
              <a:gd name="connsiteX2" fmla="*/ 8472725 w 8514189"/>
              <a:gd name="connsiteY2" fmla="*/ 630922 h 675131"/>
              <a:gd name="connsiteX3" fmla="*/ 0 w 8514189"/>
              <a:gd name="connsiteY3" fmla="*/ 675131 h 675131"/>
              <a:gd name="connsiteX4" fmla="*/ 3756 w 8514189"/>
              <a:gd name="connsiteY4" fmla="*/ 0 h 675131"/>
              <a:gd name="connsiteX0" fmla="*/ 3756 w 8476334"/>
              <a:gd name="connsiteY0" fmla="*/ 0 h 675131"/>
              <a:gd name="connsiteX1" fmla="*/ 8476334 w 8476334"/>
              <a:gd name="connsiteY1" fmla="*/ 296330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 name="connsiteX0" fmla="*/ 3756 w 8476334"/>
              <a:gd name="connsiteY0" fmla="*/ 0 h 675131"/>
              <a:gd name="connsiteX1" fmla="*/ 8476334 w 8476334"/>
              <a:gd name="connsiteY1" fmla="*/ 238881 h 675131"/>
              <a:gd name="connsiteX2" fmla="*/ 8472725 w 8476334"/>
              <a:gd name="connsiteY2" fmla="*/ 630922 h 675131"/>
              <a:gd name="connsiteX3" fmla="*/ 0 w 8476334"/>
              <a:gd name="connsiteY3" fmla="*/ 675131 h 675131"/>
              <a:gd name="connsiteX4" fmla="*/ 3756 w 8476334"/>
              <a:gd name="connsiteY4" fmla="*/ 0 h 67513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476334" h="675131">
                <a:moveTo>
                  <a:pt x="3756" y="0"/>
                </a:moveTo>
                <a:cubicBezTo>
                  <a:pt x="1787302" y="846622"/>
                  <a:pt x="5390283" y="-303413"/>
                  <a:pt x="8476334" y="238881"/>
                </a:cubicBezTo>
                <a:lnTo>
                  <a:pt x="8472725" y="630922"/>
                </a:lnTo>
                <a:lnTo>
                  <a:pt x="0" y="675131"/>
                </a:lnTo>
                <a:cubicBezTo>
                  <a:pt x="136" y="438024"/>
                  <a:pt x="3620" y="237107"/>
                  <a:pt x="3756" y="0"/>
                </a:cubicBezTo>
                <a:close/>
              </a:path>
            </a:pathLst>
          </a:custGeom>
          <a:gradFill>
            <a:gsLst>
              <a:gs pos="0">
                <a:schemeClr val="accent1">
                  <a:alpha val="38000"/>
                </a:schemeClr>
              </a:gs>
              <a:gs pos="100000">
                <a:schemeClr val="bg1">
                  <a:alpha val="0"/>
                </a:schemeClr>
              </a:gs>
              <a:gs pos="82000">
                <a:schemeClr val="accent1">
                  <a:alpha val="19000"/>
                </a:schemeClr>
              </a:gs>
            </a:gsLst>
            <a:lin ang="5400000" scaled="0"/>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4" name="Полилиния 33">
            <a:extLst>
              <a:ext uri="{FF2B5EF4-FFF2-40B4-BE49-F238E27FC236}">
                <a16:creationId xmlns:a16="http://schemas.microsoft.com/office/drawing/2014/main" id="{00000000-0008-0000-0000-000022000000}"/>
              </a:ext>
            </a:extLst>
          </xdr:cNvPr>
          <xdr:cNvSpPr/>
        </xdr:nvSpPr>
        <xdr:spPr>
          <a:xfrm>
            <a:off x="336175" y="6449065"/>
            <a:ext cx="8329150" cy="439141"/>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29455 w 8231357"/>
              <a:gd name="connsiteY0" fmla="*/ 343322 h 4316481"/>
              <a:gd name="connsiteX1" fmla="*/ 4200625 w 8231357"/>
              <a:gd name="connsiteY1" fmla="*/ 1592330 h 4316481"/>
              <a:gd name="connsiteX2" fmla="*/ 8214064 w 8231357"/>
              <a:gd name="connsiteY2" fmla="*/ 730989 h 4316481"/>
              <a:gd name="connsiteX3" fmla="*/ 8231357 w 8231357"/>
              <a:gd name="connsiteY3" fmla="*/ 4316481 h 4316481"/>
              <a:gd name="connsiteX4" fmla="*/ 0 w 8231357"/>
              <a:gd name="connsiteY4" fmla="*/ 2384205 h 4316481"/>
              <a:gd name="connsiteX5" fmla="*/ 29455 w 8231357"/>
              <a:gd name="connsiteY5" fmla="*/ 343322 h 4316481"/>
              <a:gd name="connsiteX0" fmla="*/ 29455 w 8214563"/>
              <a:gd name="connsiteY0" fmla="*/ 343322 h 2435141"/>
              <a:gd name="connsiteX1" fmla="*/ 4200625 w 8214563"/>
              <a:gd name="connsiteY1" fmla="*/ 1592330 h 2435141"/>
              <a:gd name="connsiteX2" fmla="*/ 8214064 w 8214563"/>
              <a:gd name="connsiteY2" fmla="*/ 730989 h 2435141"/>
              <a:gd name="connsiteX3" fmla="*/ 8179479 w 8214563"/>
              <a:gd name="connsiteY3" fmla="*/ 2435141 h 2435141"/>
              <a:gd name="connsiteX4" fmla="*/ 0 w 8214563"/>
              <a:gd name="connsiteY4" fmla="*/ 2384205 h 2435141"/>
              <a:gd name="connsiteX5" fmla="*/ 29455 w 8214563"/>
              <a:gd name="connsiteY5" fmla="*/ 343322 h 2435141"/>
              <a:gd name="connsiteX0" fmla="*/ 29455 w 8214563"/>
              <a:gd name="connsiteY0" fmla="*/ 405509 h 2497328"/>
              <a:gd name="connsiteX1" fmla="*/ 4200625 w 8214563"/>
              <a:gd name="connsiteY1" fmla="*/ 1654517 h 2497328"/>
              <a:gd name="connsiteX2" fmla="*/ 8214064 w 8214563"/>
              <a:gd name="connsiteY2" fmla="*/ 793176 h 2497328"/>
              <a:gd name="connsiteX3" fmla="*/ 8179479 w 8214563"/>
              <a:gd name="connsiteY3" fmla="*/ 2497328 h 2497328"/>
              <a:gd name="connsiteX4" fmla="*/ 0 w 8214563"/>
              <a:gd name="connsiteY4" fmla="*/ 2446392 h 2497328"/>
              <a:gd name="connsiteX5" fmla="*/ 29455 w 8214563"/>
              <a:gd name="connsiteY5" fmla="*/ 405509 h 2497328"/>
              <a:gd name="connsiteX0" fmla="*/ 29455 w 8214563"/>
              <a:gd name="connsiteY0" fmla="*/ 380468 h 2472287"/>
              <a:gd name="connsiteX1" fmla="*/ 4200625 w 8214563"/>
              <a:gd name="connsiteY1" fmla="*/ 1629476 h 2472287"/>
              <a:gd name="connsiteX2" fmla="*/ 8214064 w 8214563"/>
              <a:gd name="connsiteY2" fmla="*/ 768135 h 2472287"/>
              <a:gd name="connsiteX3" fmla="*/ 8179479 w 8214563"/>
              <a:gd name="connsiteY3" fmla="*/ 2472287 h 2472287"/>
              <a:gd name="connsiteX4" fmla="*/ 0 w 8214563"/>
              <a:gd name="connsiteY4" fmla="*/ 2421351 h 2472287"/>
              <a:gd name="connsiteX5" fmla="*/ 29455 w 8214563"/>
              <a:gd name="connsiteY5" fmla="*/ 380468 h 2472287"/>
              <a:gd name="connsiteX0" fmla="*/ 29455 w 8214563"/>
              <a:gd name="connsiteY0" fmla="*/ 445715 h 2537534"/>
              <a:gd name="connsiteX1" fmla="*/ 4212922 w 8214563"/>
              <a:gd name="connsiteY1" fmla="*/ 1193642 h 2537534"/>
              <a:gd name="connsiteX2" fmla="*/ 8214064 w 8214563"/>
              <a:gd name="connsiteY2" fmla="*/ 833382 h 2537534"/>
              <a:gd name="connsiteX3" fmla="*/ 8179479 w 8214563"/>
              <a:gd name="connsiteY3" fmla="*/ 2537534 h 2537534"/>
              <a:gd name="connsiteX4" fmla="*/ 0 w 8214563"/>
              <a:gd name="connsiteY4" fmla="*/ 2486598 h 2537534"/>
              <a:gd name="connsiteX5" fmla="*/ 29455 w 8214563"/>
              <a:gd name="connsiteY5" fmla="*/ 445715 h 2537534"/>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2486598 h 4951845"/>
              <a:gd name="connsiteX5" fmla="*/ 29455 w 8214464"/>
              <a:gd name="connsiteY5" fmla="*/ 445715 h 4951845"/>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4946459 h 4951845"/>
              <a:gd name="connsiteX5" fmla="*/ 29455 w 8214464"/>
              <a:gd name="connsiteY5" fmla="*/ 445715 h 4951845"/>
              <a:gd name="connsiteX0" fmla="*/ 29455 w 8214464"/>
              <a:gd name="connsiteY0" fmla="*/ 743171 h 5249301"/>
              <a:gd name="connsiteX1" fmla="*/ 3512021 w 8214464"/>
              <a:gd name="connsiteY1" fmla="*/ 306719 h 5249301"/>
              <a:gd name="connsiteX2" fmla="*/ 8214064 w 8214464"/>
              <a:gd name="connsiteY2" fmla="*/ 1130838 h 5249301"/>
              <a:gd name="connsiteX3" fmla="*/ 8167182 w 8214464"/>
              <a:gd name="connsiteY3" fmla="*/ 5249301 h 5249301"/>
              <a:gd name="connsiteX4" fmla="*/ 0 w 8214464"/>
              <a:gd name="connsiteY4" fmla="*/ 5243915 h 5249301"/>
              <a:gd name="connsiteX5" fmla="*/ 29455 w 8214464"/>
              <a:gd name="connsiteY5" fmla="*/ 743171 h 5249301"/>
              <a:gd name="connsiteX0" fmla="*/ 29455 w 8265554"/>
              <a:gd name="connsiteY0" fmla="*/ 743171 h 5887043"/>
              <a:gd name="connsiteX1" fmla="*/ 3512021 w 8265554"/>
              <a:gd name="connsiteY1" fmla="*/ 306719 h 5887043"/>
              <a:gd name="connsiteX2" fmla="*/ 8214064 w 8265554"/>
              <a:gd name="connsiteY2" fmla="*/ 1130838 h 5887043"/>
              <a:gd name="connsiteX3" fmla="*/ 8265554 w 8265554"/>
              <a:gd name="connsiteY3" fmla="*/ 5887043 h 5887043"/>
              <a:gd name="connsiteX4" fmla="*/ 0 w 8265554"/>
              <a:gd name="connsiteY4" fmla="*/ 5243915 h 5887043"/>
              <a:gd name="connsiteX5" fmla="*/ 29455 w 8265554"/>
              <a:gd name="connsiteY5" fmla="*/ 743171 h 5887043"/>
              <a:gd name="connsiteX0" fmla="*/ 29455 w 8265554"/>
              <a:gd name="connsiteY0" fmla="*/ 738257 h 5882129"/>
              <a:gd name="connsiteX1" fmla="*/ 3512021 w 8265554"/>
              <a:gd name="connsiteY1" fmla="*/ 301805 h 5882129"/>
              <a:gd name="connsiteX2" fmla="*/ 8214064 w 8265554"/>
              <a:gd name="connsiteY2" fmla="*/ 1034820 h 5882129"/>
              <a:gd name="connsiteX3" fmla="*/ 8265554 w 8265554"/>
              <a:gd name="connsiteY3" fmla="*/ 5882129 h 5882129"/>
              <a:gd name="connsiteX4" fmla="*/ 0 w 8265554"/>
              <a:gd name="connsiteY4" fmla="*/ 5239001 h 5882129"/>
              <a:gd name="connsiteX5" fmla="*/ 29455 w 8265554"/>
              <a:gd name="connsiteY5" fmla="*/ 738257 h 5882129"/>
              <a:gd name="connsiteX0" fmla="*/ 0 w 8236099"/>
              <a:gd name="connsiteY0" fmla="*/ 738257 h 6970017"/>
              <a:gd name="connsiteX1" fmla="*/ 3482566 w 8236099"/>
              <a:gd name="connsiteY1" fmla="*/ 301805 h 6970017"/>
              <a:gd name="connsiteX2" fmla="*/ 8184609 w 8236099"/>
              <a:gd name="connsiteY2" fmla="*/ 1034820 h 6970017"/>
              <a:gd name="connsiteX3" fmla="*/ 8236099 w 8236099"/>
              <a:gd name="connsiteY3" fmla="*/ 5882129 h 6970017"/>
              <a:gd name="connsiteX4" fmla="*/ 7435 w 8236099"/>
              <a:gd name="connsiteY4" fmla="*/ 6970017 h 6970017"/>
              <a:gd name="connsiteX5" fmla="*/ 0 w 8236099"/>
              <a:gd name="connsiteY5" fmla="*/ 738257 h 6970017"/>
              <a:gd name="connsiteX0" fmla="*/ 0 w 8248395"/>
              <a:gd name="connsiteY0" fmla="*/ 738257 h 7203166"/>
              <a:gd name="connsiteX1" fmla="*/ 3482566 w 8248395"/>
              <a:gd name="connsiteY1" fmla="*/ 301805 h 7203166"/>
              <a:gd name="connsiteX2" fmla="*/ 8184609 w 8248395"/>
              <a:gd name="connsiteY2" fmla="*/ 1034820 h 7203166"/>
              <a:gd name="connsiteX3" fmla="*/ 8248395 w 8248395"/>
              <a:gd name="connsiteY3" fmla="*/ 7203166 h 7203166"/>
              <a:gd name="connsiteX4" fmla="*/ 7435 w 8248395"/>
              <a:gd name="connsiteY4" fmla="*/ 6970017 h 7203166"/>
              <a:gd name="connsiteX5" fmla="*/ 0 w 8248395"/>
              <a:gd name="connsiteY5" fmla="*/ 738257 h 7203166"/>
              <a:gd name="connsiteX0" fmla="*/ 0 w 8248395"/>
              <a:gd name="connsiteY0" fmla="*/ 586920 h 7051829"/>
              <a:gd name="connsiteX1" fmla="*/ 3482566 w 8248395"/>
              <a:gd name="connsiteY1" fmla="*/ 150468 h 7051829"/>
              <a:gd name="connsiteX2" fmla="*/ 8184609 w 8248395"/>
              <a:gd name="connsiteY2" fmla="*/ 883483 h 7051829"/>
              <a:gd name="connsiteX3" fmla="*/ 8248395 w 8248395"/>
              <a:gd name="connsiteY3" fmla="*/ 7051829 h 7051829"/>
              <a:gd name="connsiteX4" fmla="*/ 7435 w 8248395"/>
              <a:gd name="connsiteY4" fmla="*/ 6818680 h 7051829"/>
              <a:gd name="connsiteX5" fmla="*/ 0 w 8248395"/>
              <a:gd name="connsiteY5" fmla="*/ 586920 h 7051829"/>
              <a:gd name="connsiteX0" fmla="*/ 0 w 8248395"/>
              <a:gd name="connsiteY0" fmla="*/ 638211 h 7103120"/>
              <a:gd name="connsiteX1" fmla="*/ 8184609 w 8248395"/>
              <a:gd name="connsiteY1" fmla="*/ 934774 h 7103120"/>
              <a:gd name="connsiteX2" fmla="*/ 8248395 w 8248395"/>
              <a:gd name="connsiteY2" fmla="*/ 7103120 h 7103120"/>
              <a:gd name="connsiteX3" fmla="*/ 7435 w 8248395"/>
              <a:gd name="connsiteY3" fmla="*/ 6869971 h 7103120"/>
              <a:gd name="connsiteX4" fmla="*/ 0 w 8248395"/>
              <a:gd name="connsiteY4" fmla="*/ 638211 h 7103120"/>
              <a:gd name="connsiteX0" fmla="*/ 0 w 8259379"/>
              <a:gd name="connsiteY0" fmla="*/ 676991 h 7141900"/>
              <a:gd name="connsiteX1" fmla="*/ 8258389 w 8259379"/>
              <a:gd name="connsiteY1" fmla="*/ 882444 h 7141900"/>
              <a:gd name="connsiteX2" fmla="*/ 8248395 w 8259379"/>
              <a:gd name="connsiteY2" fmla="*/ 7141900 h 7141900"/>
              <a:gd name="connsiteX3" fmla="*/ 7435 w 8259379"/>
              <a:gd name="connsiteY3" fmla="*/ 6908751 h 7141900"/>
              <a:gd name="connsiteX4" fmla="*/ 0 w 8259379"/>
              <a:gd name="connsiteY4" fmla="*/ 676991 h 7141900"/>
              <a:gd name="connsiteX0" fmla="*/ 0 w 8259379"/>
              <a:gd name="connsiteY0" fmla="*/ 13076 h 6477985"/>
              <a:gd name="connsiteX1" fmla="*/ 8258389 w 8259379"/>
              <a:gd name="connsiteY1" fmla="*/ 218529 h 6477985"/>
              <a:gd name="connsiteX2" fmla="*/ 8248395 w 8259379"/>
              <a:gd name="connsiteY2" fmla="*/ 6477985 h 6477985"/>
              <a:gd name="connsiteX3" fmla="*/ 7435 w 8259379"/>
              <a:gd name="connsiteY3" fmla="*/ 6244836 h 6477985"/>
              <a:gd name="connsiteX4" fmla="*/ 0 w 8259379"/>
              <a:gd name="connsiteY4" fmla="*/ 13076 h 6477985"/>
              <a:gd name="connsiteX0" fmla="*/ 0 w 8259379"/>
              <a:gd name="connsiteY0" fmla="*/ 72833 h 6537742"/>
              <a:gd name="connsiteX1" fmla="*/ 8258389 w 8259379"/>
              <a:gd name="connsiteY1" fmla="*/ 278286 h 6537742"/>
              <a:gd name="connsiteX2" fmla="*/ 8248395 w 8259379"/>
              <a:gd name="connsiteY2" fmla="*/ 6537742 h 6537742"/>
              <a:gd name="connsiteX3" fmla="*/ 7435 w 8259379"/>
              <a:gd name="connsiteY3" fmla="*/ 6304593 h 6537742"/>
              <a:gd name="connsiteX4" fmla="*/ 0 w 8259379"/>
              <a:gd name="connsiteY4" fmla="*/ 72833 h 6537742"/>
              <a:gd name="connsiteX0" fmla="*/ 0 w 8259379"/>
              <a:gd name="connsiteY0" fmla="*/ 72833 h 6537742"/>
              <a:gd name="connsiteX1" fmla="*/ 8258389 w 8259379"/>
              <a:gd name="connsiteY1" fmla="*/ 278286 h 6537742"/>
              <a:gd name="connsiteX2" fmla="*/ 8248395 w 8259379"/>
              <a:gd name="connsiteY2" fmla="*/ 6537742 h 6537742"/>
              <a:gd name="connsiteX3" fmla="*/ 1016 w 8259379"/>
              <a:gd name="connsiteY3" fmla="*/ 1538458 h 6537742"/>
              <a:gd name="connsiteX4" fmla="*/ 0 w 8259379"/>
              <a:gd name="connsiteY4" fmla="*/ 72833 h 6537742"/>
              <a:gd name="connsiteX0" fmla="*/ 0 w 8258427"/>
              <a:gd name="connsiteY0" fmla="*/ 72833 h 1563666"/>
              <a:gd name="connsiteX1" fmla="*/ 8258389 w 8258427"/>
              <a:gd name="connsiteY1" fmla="*/ 278286 h 1563666"/>
              <a:gd name="connsiteX2" fmla="*/ 7625715 w 8258427"/>
              <a:gd name="connsiteY2" fmla="*/ 1559778 h 1563666"/>
              <a:gd name="connsiteX3" fmla="*/ 1016 w 8258427"/>
              <a:gd name="connsiteY3" fmla="*/ 1538458 h 1563666"/>
              <a:gd name="connsiteX4" fmla="*/ 0 w 8258427"/>
              <a:gd name="connsiteY4" fmla="*/ 72833 h 1563666"/>
              <a:gd name="connsiteX0" fmla="*/ 0 w 7625715"/>
              <a:gd name="connsiteY0" fmla="*/ 48159 h 1538992"/>
              <a:gd name="connsiteX1" fmla="*/ 7622870 w 7625715"/>
              <a:gd name="connsiteY1" fmla="*/ 280093 h 1538992"/>
              <a:gd name="connsiteX2" fmla="*/ 7625715 w 7625715"/>
              <a:gd name="connsiteY2" fmla="*/ 1535104 h 1538992"/>
              <a:gd name="connsiteX3" fmla="*/ 1016 w 7625715"/>
              <a:gd name="connsiteY3" fmla="*/ 1513784 h 1538992"/>
              <a:gd name="connsiteX4" fmla="*/ 0 w 7625715"/>
              <a:gd name="connsiteY4" fmla="*/ 48159 h 1538992"/>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2872"/>
              <a:gd name="connsiteY0" fmla="*/ 48155 h 1529644"/>
              <a:gd name="connsiteX1" fmla="*/ 7622870 w 7622872"/>
              <a:gd name="connsiteY1" fmla="*/ 280089 h 1529644"/>
              <a:gd name="connsiteX2" fmla="*/ 7395928 w 7622872"/>
              <a:gd name="connsiteY2" fmla="*/ 1432046 h 1529644"/>
              <a:gd name="connsiteX3" fmla="*/ 1016 w 7622872"/>
              <a:gd name="connsiteY3" fmla="*/ 1513780 h 1529644"/>
              <a:gd name="connsiteX4" fmla="*/ 0 w 7622872"/>
              <a:gd name="connsiteY4" fmla="*/ 48155 h 1529644"/>
              <a:gd name="connsiteX0" fmla="*/ 0 w 7395928"/>
              <a:gd name="connsiteY0" fmla="*/ 240829 h 1722318"/>
              <a:gd name="connsiteX1" fmla="*/ 7360257 w 7395928"/>
              <a:gd name="connsiteY1" fmla="*/ 266657 h 1722318"/>
              <a:gd name="connsiteX2" fmla="*/ 7395928 w 7395928"/>
              <a:gd name="connsiteY2" fmla="*/ 1624720 h 1722318"/>
              <a:gd name="connsiteX3" fmla="*/ 1016 w 7395928"/>
              <a:gd name="connsiteY3" fmla="*/ 1706454 h 1722318"/>
              <a:gd name="connsiteX4" fmla="*/ 0 w 7395928"/>
              <a:gd name="connsiteY4" fmla="*/ 240829 h 1722318"/>
              <a:gd name="connsiteX0" fmla="*/ 0 w 7371308"/>
              <a:gd name="connsiteY0" fmla="*/ 240829 h 1720598"/>
              <a:gd name="connsiteX1" fmla="*/ 7360257 w 7371308"/>
              <a:gd name="connsiteY1" fmla="*/ 266657 h 1720598"/>
              <a:gd name="connsiteX2" fmla="*/ 7371308 w 7371308"/>
              <a:gd name="connsiteY2" fmla="*/ 1590369 h 1720598"/>
              <a:gd name="connsiteX3" fmla="*/ 1016 w 7371308"/>
              <a:gd name="connsiteY3" fmla="*/ 1706454 h 1720598"/>
              <a:gd name="connsiteX4" fmla="*/ 0 w 7371308"/>
              <a:gd name="connsiteY4" fmla="*/ 240829 h 1720598"/>
              <a:gd name="connsiteX0" fmla="*/ 0 w 7371308"/>
              <a:gd name="connsiteY0" fmla="*/ 240829 h 1720594"/>
              <a:gd name="connsiteX1" fmla="*/ 7360257 w 7371308"/>
              <a:gd name="connsiteY1" fmla="*/ 266657 h 1720594"/>
              <a:gd name="connsiteX2" fmla="*/ 7371308 w 7371308"/>
              <a:gd name="connsiteY2" fmla="*/ 1590369 h 1720594"/>
              <a:gd name="connsiteX3" fmla="*/ 1016 w 7371308"/>
              <a:gd name="connsiteY3" fmla="*/ 1706454 h 1720594"/>
              <a:gd name="connsiteX4" fmla="*/ 0 w 7371308"/>
              <a:gd name="connsiteY4" fmla="*/ 240829 h 1720594"/>
              <a:gd name="connsiteX0" fmla="*/ 0 w 7371308"/>
              <a:gd name="connsiteY0" fmla="*/ 240829 h 1590369"/>
              <a:gd name="connsiteX1" fmla="*/ 7360257 w 7371308"/>
              <a:gd name="connsiteY1" fmla="*/ 266657 h 1590369"/>
              <a:gd name="connsiteX2" fmla="*/ 7371308 w 7371308"/>
              <a:gd name="connsiteY2" fmla="*/ 1590369 h 1590369"/>
              <a:gd name="connsiteX3" fmla="*/ 1016 w 7371308"/>
              <a:gd name="connsiteY3" fmla="*/ 1534696 h 1590369"/>
              <a:gd name="connsiteX4" fmla="*/ 0 w 7371308"/>
              <a:gd name="connsiteY4" fmla="*/ 240829 h 159036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71308" h="1590369">
                <a:moveTo>
                  <a:pt x="0" y="240829"/>
                </a:moveTo>
                <a:cubicBezTo>
                  <a:pt x="1879315" y="2759211"/>
                  <a:pt x="5653520" y="-993039"/>
                  <a:pt x="7360257" y="266657"/>
                </a:cubicBezTo>
                <a:cubicBezTo>
                  <a:pt x="7363941" y="707894"/>
                  <a:pt x="7367624" y="1149132"/>
                  <a:pt x="7371308" y="1590369"/>
                </a:cubicBezTo>
                <a:cubicBezTo>
                  <a:pt x="4624321" y="1512653"/>
                  <a:pt x="2748003" y="1612412"/>
                  <a:pt x="1016" y="1534696"/>
                </a:cubicBezTo>
                <a:cubicBezTo>
                  <a:pt x="677" y="1046154"/>
                  <a:pt x="339" y="729371"/>
                  <a:pt x="0" y="240829"/>
                </a:cubicBezTo>
                <a:close/>
              </a:path>
            </a:pathLst>
          </a:custGeom>
          <a:gradFill flip="none" rotWithShape="1">
            <a:gsLst>
              <a:gs pos="82000">
                <a:schemeClr val="bg1">
                  <a:alpha val="0"/>
                </a:schemeClr>
              </a:gs>
              <a:gs pos="0">
                <a:schemeClr val="accent6">
                  <a:alpha val="42000"/>
                </a:schemeClr>
              </a:gs>
              <a:gs pos="32000">
                <a:schemeClr val="accent6">
                  <a:alpha val="24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 name="Полилиния 15">
            <a:extLst>
              <a:ext uri="{FF2B5EF4-FFF2-40B4-BE49-F238E27FC236}">
                <a16:creationId xmlns:a16="http://schemas.microsoft.com/office/drawing/2014/main" id="{00000000-0008-0000-0000-000010000000}"/>
              </a:ext>
            </a:extLst>
          </xdr:cNvPr>
          <xdr:cNvSpPr/>
        </xdr:nvSpPr>
        <xdr:spPr>
          <a:xfrm flipH="1">
            <a:off x="343556" y="6463017"/>
            <a:ext cx="8296046" cy="298590"/>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7878384"/>
              <a:gd name="connsiteY0" fmla="*/ 231491 h 956412"/>
              <a:gd name="connsiteX1" fmla="*/ 7878384 w 7878384"/>
              <a:gd name="connsiteY1" fmla="*/ 168089 h 956412"/>
            </a:gdLst>
            <a:ahLst/>
            <a:cxnLst>
              <a:cxn ang="0">
                <a:pos x="connsiteX0" y="connsiteY0"/>
              </a:cxn>
              <a:cxn ang="0">
                <a:pos x="connsiteX1" y="connsiteY1"/>
              </a:cxn>
            </a:cxnLst>
            <a:rect l="l" t="t" r="r" b="b"/>
            <a:pathLst>
              <a:path w="7878384" h="956412">
                <a:moveTo>
                  <a:pt x="0" y="231491"/>
                </a:moveTo>
                <a:cubicBezTo>
                  <a:pt x="1759324" y="-857189"/>
                  <a:pt x="6324706" y="2370481"/>
                  <a:pt x="7878384" y="168089"/>
                </a:cubicBezTo>
              </a:path>
            </a:pathLst>
          </a:custGeom>
          <a:noFill/>
          <a:ln w="50800">
            <a:gradFill flip="none" rotWithShape="1">
              <a:gsLst>
                <a:gs pos="0">
                  <a:schemeClr val="accent6">
                    <a:alpha val="35000"/>
                  </a:schemeClr>
                </a:gs>
                <a:gs pos="41000">
                  <a:schemeClr val="accent6">
                    <a:alpha val="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7" name="Полилиния 16">
            <a:extLst>
              <a:ext uri="{FF2B5EF4-FFF2-40B4-BE49-F238E27FC236}">
                <a16:creationId xmlns:a16="http://schemas.microsoft.com/office/drawing/2014/main" id="{00000000-0008-0000-0000-000011000000}"/>
              </a:ext>
            </a:extLst>
          </xdr:cNvPr>
          <xdr:cNvSpPr/>
        </xdr:nvSpPr>
        <xdr:spPr>
          <a:xfrm>
            <a:off x="346397" y="6189506"/>
            <a:ext cx="8283727" cy="40577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47550"/>
              <a:gd name="connsiteY0" fmla="*/ 205805 h 1321597"/>
              <a:gd name="connsiteX1" fmla="*/ 8247550 w 8247550"/>
              <a:gd name="connsiteY1" fmla="*/ 606837 h 1321597"/>
              <a:gd name="connsiteX0" fmla="*/ 0 w 8247550"/>
              <a:gd name="connsiteY0" fmla="*/ 0 h 1832736"/>
              <a:gd name="connsiteX1" fmla="*/ 8247550 w 8247550"/>
              <a:gd name="connsiteY1" fmla="*/ 401032 h 1832736"/>
              <a:gd name="connsiteX0" fmla="*/ 0 w 8157917"/>
              <a:gd name="connsiteY0" fmla="*/ 0 h 2408623"/>
              <a:gd name="connsiteX1" fmla="*/ 8157917 w 8157917"/>
              <a:gd name="connsiteY1" fmla="*/ 1292955 h 2408623"/>
              <a:gd name="connsiteX0" fmla="*/ 0 w 8157917"/>
              <a:gd name="connsiteY0" fmla="*/ 0 h 1292955"/>
              <a:gd name="connsiteX1" fmla="*/ 8157917 w 8157917"/>
              <a:gd name="connsiteY1" fmla="*/ 1292955 h 1292955"/>
              <a:gd name="connsiteX0" fmla="*/ 0 w 8157917"/>
              <a:gd name="connsiteY0" fmla="*/ 0 h 1292955"/>
              <a:gd name="connsiteX1" fmla="*/ 8157917 w 8157917"/>
              <a:gd name="connsiteY1" fmla="*/ 1292955 h 1292955"/>
              <a:gd name="connsiteX0" fmla="*/ 0 w 7840753"/>
              <a:gd name="connsiteY0" fmla="*/ 0 h 1249707"/>
              <a:gd name="connsiteX1" fmla="*/ 7840753 w 7840753"/>
              <a:gd name="connsiteY1" fmla="*/ 1128653 h 1249707"/>
              <a:gd name="connsiteX0" fmla="*/ 0 w 7840753"/>
              <a:gd name="connsiteY0" fmla="*/ 0 h 1309691"/>
              <a:gd name="connsiteX1" fmla="*/ 7840753 w 7840753"/>
              <a:gd name="connsiteY1" fmla="*/ 1128653 h 1309691"/>
              <a:gd name="connsiteX0" fmla="*/ 0 w 7826963"/>
              <a:gd name="connsiteY0" fmla="*/ 0 h 1284686"/>
              <a:gd name="connsiteX1" fmla="*/ 7826963 w 7826963"/>
              <a:gd name="connsiteY1" fmla="*/ 1011294 h 1284686"/>
              <a:gd name="connsiteX0" fmla="*/ 0 w 8157917"/>
              <a:gd name="connsiteY0" fmla="*/ 0 h 1357465"/>
              <a:gd name="connsiteX1" fmla="*/ 8157917 w 8157917"/>
              <a:gd name="connsiteY1" fmla="*/ 1339898 h 1357465"/>
              <a:gd name="connsiteX0" fmla="*/ 0 w 8157917"/>
              <a:gd name="connsiteY0" fmla="*/ 0 h 1339898"/>
              <a:gd name="connsiteX1" fmla="*/ 8157917 w 8157917"/>
              <a:gd name="connsiteY1" fmla="*/ 1339898 h 1339898"/>
              <a:gd name="connsiteX0" fmla="*/ 0 w 8157917"/>
              <a:gd name="connsiteY0" fmla="*/ 0 h 1339898"/>
              <a:gd name="connsiteX1" fmla="*/ 8157917 w 8157917"/>
              <a:gd name="connsiteY1" fmla="*/ 1339898 h 1339898"/>
              <a:gd name="connsiteX0" fmla="*/ 0 w 8171707"/>
              <a:gd name="connsiteY0" fmla="*/ 0 h 1339898"/>
              <a:gd name="connsiteX1" fmla="*/ 8171707 w 8171707"/>
              <a:gd name="connsiteY1" fmla="*/ 1339898 h 1339898"/>
              <a:gd name="connsiteX0" fmla="*/ 0 w 8171707"/>
              <a:gd name="connsiteY0" fmla="*/ 0 h 1339898"/>
              <a:gd name="connsiteX1" fmla="*/ 8171707 w 8171707"/>
              <a:gd name="connsiteY1" fmla="*/ 1339898 h 1339898"/>
              <a:gd name="connsiteX0" fmla="*/ 0 w 7880859"/>
              <a:gd name="connsiteY0" fmla="*/ 0 h 1265562"/>
              <a:gd name="connsiteX1" fmla="*/ 7880859 w 7880859"/>
              <a:gd name="connsiteY1" fmla="*/ 1249048 h 1265562"/>
              <a:gd name="connsiteX0" fmla="*/ 0 w 7872045"/>
              <a:gd name="connsiteY0" fmla="*/ 0 h 1237031"/>
              <a:gd name="connsiteX1" fmla="*/ 7872045 w 7872045"/>
              <a:gd name="connsiteY1" fmla="*/ 1097632 h 1237031"/>
              <a:gd name="connsiteX0" fmla="*/ 0 w 7872045"/>
              <a:gd name="connsiteY0" fmla="*/ 0 h 1272541"/>
              <a:gd name="connsiteX1" fmla="*/ 7872045 w 7872045"/>
              <a:gd name="connsiteY1" fmla="*/ 1097632 h 1272541"/>
              <a:gd name="connsiteX0" fmla="*/ 0 w 7872045"/>
              <a:gd name="connsiteY0" fmla="*/ 0 h 1212261"/>
              <a:gd name="connsiteX1" fmla="*/ 7872045 w 7872045"/>
              <a:gd name="connsiteY1" fmla="*/ 770861 h 1212261"/>
              <a:gd name="connsiteX0" fmla="*/ 0 w 7872045"/>
              <a:gd name="connsiteY0" fmla="*/ 0 h 1308965"/>
              <a:gd name="connsiteX1" fmla="*/ 7872045 w 7872045"/>
              <a:gd name="connsiteY1" fmla="*/ 770861 h 1308965"/>
            </a:gdLst>
            <a:ahLst/>
            <a:cxnLst>
              <a:cxn ang="0">
                <a:pos x="connsiteX0" y="connsiteY0"/>
              </a:cxn>
              <a:cxn ang="0">
                <a:pos x="connsiteX1" y="connsiteY1"/>
              </a:cxn>
            </a:cxnLst>
            <a:rect l="l" t="t" r="r" b="b"/>
            <a:pathLst>
              <a:path w="7872045" h="1308965">
                <a:moveTo>
                  <a:pt x="0" y="0"/>
                </a:moveTo>
                <a:cubicBezTo>
                  <a:pt x="1504215" y="3417898"/>
                  <a:pt x="4626634" y="-1165690"/>
                  <a:pt x="7872045" y="770861"/>
                </a:cubicBezTo>
              </a:path>
            </a:pathLst>
          </a:custGeom>
          <a:noFill/>
          <a:ln w="19050">
            <a:gradFill flip="none" rotWithShape="1">
              <a:gsLst>
                <a:gs pos="0">
                  <a:schemeClr val="accent1"/>
                </a:gs>
                <a:gs pos="41000">
                  <a:schemeClr val="accent1">
                    <a:alpha val="47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3" name="Полилиния 22">
            <a:extLst>
              <a:ext uri="{FF2B5EF4-FFF2-40B4-BE49-F238E27FC236}">
                <a16:creationId xmlns:a16="http://schemas.microsoft.com/office/drawing/2014/main" id="{00000000-0008-0000-0000-000017000000}"/>
              </a:ext>
            </a:extLst>
          </xdr:cNvPr>
          <xdr:cNvSpPr/>
        </xdr:nvSpPr>
        <xdr:spPr>
          <a:xfrm flipH="1">
            <a:off x="336900" y="6463231"/>
            <a:ext cx="8304151" cy="282192"/>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13075"/>
              <a:gd name="connsiteY0" fmla="*/ 255314 h 872277"/>
              <a:gd name="connsiteX1" fmla="*/ 8213075 w 8213075"/>
              <a:gd name="connsiteY1" fmla="*/ 69554 h 872277"/>
              <a:gd name="connsiteX0" fmla="*/ 0 w 7938231"/>
              <a:gd name="connsiteY0" fmla="*/ 249043 h 941390"/>
              <a:gd name="connsiteX1" fmla="*/ 7938231 w 7938231"/>
              <a:gd name="connsiteY1" fmla="*/ 155041 h 941390"/>
              <a:gd name="connsiteX0" fmla="*/ 0 w 7938231"/>
              <a:gd name="connsiteY0" fmla="*/ 143188 h 891171"/>
              <a:gd name="connsiteX1" fmla="*/ 7938231 w 7938231"/>
              <a:gd name="connsiteY1" fmla="*/ 49186 h 891171"/>
              <a:gd name="connsiteX0" fmla="*/ 0 w 7938231"/>
              <a:gd name="connsiteY0" fmla="*/ 170508 h 902660"/>
              <a:gd name="connsiteX1" fmla="*/ 7938231 w 7938231"/>
              <a:gd name="connsiteY1" fmla="*/ 76506 h 902660"/>
            </a:gdLst>
            <a:ahLst/>
            <a:cxnLst>
              <a:cxn ang="0">
                <a:pos x="connsiteX0" y="connsiteY0"/>
              </a:cxn>
              <a:cxn ang="0">
                <a:pos x="connsiteX1" y="connsiteY1"/>
              </a:cxn>
            </a:cxnLst>
            <a:rect l="l" t="t" r="r" b="b"/>
            <a:pathLst>
              <a:path w="7938231" h="902660">
                <a:moveTo>
                  <a:pt x="0" y="170508"/>
                </a:moveTo>
                <a:cubicBezTo>
                  <a:pt x="2306005" y="-720426"/>
                  <a:pt x="6384553" y="2278898"/>
                  <a:pt x="7938231" y="76506"/>
                </a:cubicBezTo>
              </a:path>
            </a:pathLst>
          </a:custGeom>
          <a:noFill/>
          <a:ln w="19050">
            <a:gradFill flip="none" rotWithShape="1">
              <a:gsLst>
                <a:gs pos="0">
                  <a:schemeClr val="bg1">
                    <a:alpha val="0"/>
                  </a:schemeClr>
                </a:gs>
                <a:gs pos="41000">
                  <a:schemeClr val="bg1">
                    <a:alpha val="60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1" name="Полилиния 40">
            <a:extLst>
              <a:ext uri="{FF2B5EF4-FFF2-40B4-BE49-F238E27FC236}">
                <a16:creationId xmlns:a16="http://schemas.microsoft.com/office/drawing/2014/main" id="{00000000-0008-0000-0000-000029000000}"/>
              </a:ext>
            </a:extLst>
          </xdr:cNvPr>
          <xdr:cNvSpPr/>
        </xdr:nvSpPr>
        <xdr:spPr>
          <a:xfrm flipH="1" flipV="1">
            <a:off x="315540" y="1031015"/>
            <a:ext cx="8306360" cy="444581"/>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29455 w 8231357"/>
              <a:gd name="connsiteY0" fmla="*/ 343322 h 4316481"/>
              <a:gd name="connsiteX1" fmla="*/ 4200625 w 8231357"/>
              <a:gd name="connsiteY1" fmla="*/ 1592330 h 4316481"/>
              <a:gd name="connsiteX2" fmla="*/ 8214064 w 8231357"/>
              <a:gd name="connsiteY2" fmla="*/ 730989 h 4316481"/>
              <a:gd name="connsiteX3" fmla="*/ 8231357 w 8231357"/>
              <a:gd name="connsiteY3" fmla="*/ 4316481 h 4316481"/>
              <a:gd name="connsiteX4" fmla="*/ 0 w 8231357"/>
              <a:gd name="connsiteY4" fmla="*/ 2384205 h 4316481"/>
              <a:gd name="connsiteX5" fmla="*/ 29455 w 8231357"/>
              <a:gd name="connsiteY5" fmla="*/ 343322 h 4316481"/>
              <a:gd name="connsiteX0" fmla="*/ 29455 w 8214563"/>
              <a:gd name="connsiteY0" fmla="*/ 343322 h 2435141"/>
              <a:gd name="connsiteX1" fmla="*/ 4200625 w 8214563"/>
              <a:gd name="connsiteY1" fmla="*/ 1592330 h 2435141"/>
              <a:gd name="connsiteX2" fmla="*/ 8214064 w 8214563"/>
              <a:gd name="connsiteY2" fmla="*/ 730989 h 2435141"/>
              <a:gd name="connsiteX3" fmla="*/ 8179479 w 8214563"/>
              <a:gd name="connsiteY3" fmla="*/ 2435141 h 2435141"/>
              <a:gd name="connsiteX4" fmla="*/ 0 w 8214563"/>
              <a:gd name="connsiteY4" fmla="*/ 2384205 h 2435141"/>
              <a:gd name="connsiteX5" fmla="*/ 29455 w 8214563"/>
              <a:gd name="connsiteY5" fmla="*/ 343322 h 2435141"/>
              <a:gd name="connsiteX0" fmla="*/ 29455 w 8214563"/>
              <a:gd name="connsiteY0" fmla="*/ 405509 h 2497328"/>
              <a:gd name="connsiteX1" fmla="*/ 4200625 w 8214563"/>
              <a:gd name="connsiteY1" fmla="*/ 1654517 h 2497328"/>
              <a:gd name="connsiteX2" fmla="*/ 8214064 w 8214563"/>
              <a:gd name="connsiteY2" fmla="*/ 793176 h 2497328"/>
              <a:gd name="connsiteX3" fmla="*/ 8179479 w 8214563"/>
              <a:gd name="connsiteY3" fmla="*/ 2497328 h 2497328"/>
              <a:gd name="connsiteX4" fmla="*/ 0 w 8214563"/>
              <a:gd name="connsiteY4" fmla="*/ 2446392 h 2497328"/>
              <a:gd name="connsiteX5" fmla="*/ 29455 w 8214563"/>
              <a:gd name="connsiteY5" fmla="*/ 405509 h 2497328"/>
              <a:gd name="connsiteX0" fmla="*/ 29455 w 8214563"/>
              <a:gd name="connsiteY0" fmla="*/ 380468 h 2472287"/>
              <a:gd name="connsiteX1" fmla="*/ 4200625 w 8214563"/>
              <a:gd name="connsiteY1" fmla="*/ 1629476 h 2472287"/>
              <a:gd name="connsiteX2" fmla="*/ 8214064 w 8214563"/>
              <a:gd name="connsiteY2" fmla="*/ 768135 h 2472287"/>
              <a:gd name="connsiteX3" fmla="*/ 8179479 w 8214563"/>
              <a:gd name="connsiteY3" fmla="*/ 2472287 h 2472287"/>
              <a:gd name="connsiteX4" fmla="*/ 0 w 8214563"/>
              <a:gd name="connsiteY4" fmla="*/ 2421351 h 2472287"/>
              <a:gd name="connsiteX5" fmla="*/ 29455 w 8214563"/>
              <a:gd name="connsiteY5" fmla="*/ 380468 h 2472287"/>
              <a:gd name="connsiteX0" fmla="*/ 29455 w 8214563"/>
              <a:gd name="connsiteY0" fmla="*/ 445715 h 2537534"/>
              <a:gd name="connsiteX1" fmla="*/ 4212922 w 8214563"/>
              <a:gd name="connsiteY1" fmla="*/ 1193642 h 2537534"/>
              <a:gd name="connsiteX2" fmla="*/ 8214064 w 8214563"/>
              <a:gd name="connsiteY2" fmla="*/ 833382 h 2537534"/>
              <a:gd name="connsiteX3" fmla="*/ 8179479 w 8214563"/>
              <a:gd name="connsiteY3" fmla="*/ 2537534 h 2537534"/>
              <a:gd name="connsiteX4" fmla="*/ 0 w 8214563"/>
              <a:gd name="connsiteY4" fmla="*/ 2486598 h 2537534"/>
              <a:gd name="connsiteX5" fmla="*/ 29455 w 8214563"/>
              <a:gd name="connsiteY5" fmla="*/ 445715 h 2537534"/>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2486598 h 4951845"/>
              <a:gd name="connsiteX5" fmla="*/ 29455 w 8214464"/>
              <a:gd name="connsiteY5" fmla="*/ 445715 h 4951845"/>
              <a:gd name="connsiteX0" fmla="*/ 29455 w 8214464"/>
              <a:gd name="connsiteY0" fmla="*/ 445715 h 4951845"/>
              <a:gd name="connsiteX1" fmla="*/ 4212922 w 8214464"/>
              <a:gd name="connsiteY1" fmla="*/ 1193642 h 4951845"/>
              <a:gd name="connsiteX2" fmla="*/ 8214064 w 8214464"/>
              <a:gd name="connsiteY2" fmla="*/ 833382 h 4951845"/>
              <a:gd name="connsiteX3" fmla="*/ 8167182 w 8214464"/>
              <a:gd name="connsiteY3" fmla="*/ 4951845 h 4951845"/>
              <a:gd name="connsiteX4" fmla="*/ 0 w 8214464"/>
              <a:gd name="connsiteY4" fmla="*/ 4946459 h 4951845"/>
              <a:gd name="connsiteX5" fmla="*/ 29455 w 8214464"/>
              <a:gd name="connsiteY5" fmla="*/ 445715 h 4951845"/>
              <a:gd name="connsiteX0" fmla="*/ 29455 w 8214464"/>
              <a:gd name="connsiteY0" fmla="*/ 743171 h 5249301"/>
              <a:gd name="connsiteX1" fmla="*/ 3512021 w 8214464"/>
              <a:gd name="connsiteY1" fmla="*/ 306719 h 5249301"/>
              <a:gd name="connsiteX2" fmla="*/ 8214064 w 8214464"/>
              <a:gd name="connsiteY2" fmla="*/ 1130838 h 5249301"/>
              <a:gd name="connsiteX3" fmla="*/ 8167182 w 8214464"/>
              <a:gd name="connsiteY3" fmla="*/ 5249301 h 5249301"/>
              <a:gd name="connsiteX4" fmla="*/ 0 w 8214464"/>
              <a:gd name="connsiteY4" fmla="*/ 5243915 h 5249301"/>
              <a:gd name="connsiteX5" fmla="*/ 29455 w 8214464"/>
              <a:gd name="connsiteY5" fmla="*/ 743171 h 5249301"/>
              <a:gd name="connsiteX0" fmla="*/ 29455 w 8265554"/>
              <a:gd name="connsiteY0" fmla="*/ 743171 h 5887043"/>
              <a:gd name="connsiteX1" fmla="*/ 3512021 w 8265554"/>
              <a:gd name="connsiteY1" fmla="*/ 306719 h 5887043"/>
              <a:gd name="connsiteX2" fmla="*/ 8214064 w 8265554"/>
              <a:gd name="connsiteY2" fmla="*/ 1130838 h 5887043"/>
              <a:gd name="connsiteX3" fmla="*/ 8265554 w 8265554"/>
              <a:gd name="connsiteY3" fmla="*/ 5887043 h 5887043"/>
              <a:gd name="connsiteX4" fmla="*/ 0 w 8265554"/>
              <a:gd name="connsiteY4" fmla="*/ 5243915 h 5887043"/>
              <a:gd name="connsiteX5" fmla="*/ 29455 w 8265554"/>
              <a:gd name="connsiteY5" fmla="*/ 743171 h 5887043"/>
              <a:gd name="connsiteX0" fmla="*/ 29455 w 8265554"/>
              <a:gd name="connsiteY0" fmla="*/ 738257 h 5882129"/>
              <a:gd name="connsiteX1" fmla="*/ 3512021 w 8265554"/>
              <a:gd name="connsiteY1" fmla="*/ 301805 h 5882129"/>
              <a:gd name="connsiteX2" fmla="*/ 8214064 w 8265554"/>
              <a:gd name="connsiteY2" fmla="*/ 1034820 h 5882129"/>
              <a:gd name="connsiteX3" fmla="*/ 8265554 w 8265554"/>
              <a:gd name="connsiteY3" fmla="*/ 5882129 h 5882129"/>
              <a:gd name="connsiteX4" fmla="*/ 0 w 8265554"/>
              <a:gd name="connsiteY4" fmla="*/ 5239001 h 5882129"/>
              <a:gd name="connsiteX5" fmla="*/ 29455 w 8265554"/>
              <a:gd name="connsiteY5" fmla="*/ 738257 h 5882129"/>
              <a:gd name="connsiteX0" fmla="*/ 0 w 8236099"/>
              <a:gd name="connsiteY0" fmla="*/ 738257 h 6970017"/>
              <a:gd name="connsiteX1" fmla="*/ 3482566 w 8236099"/>
              <a:gd name="connsiteY1" fmla="*/ 301805 h 6970017"/>
              <a:gd name="connsiteX2" fmla="*/ 8184609 w 8236099"/>
              <a:gd name="connsiteY2" fmla="*/ 1034820 h 6970017"/>
              <a:gd name="connsiteX3" fmla="*/ 8236099 w 8236099"/>
              <a:gd name="connsiteY3" fmla="*/ 5882129 h 6970017"/>
              <a:gd name="connsiteX4" fmla="*/ 7435 w 8236099"/>
              <a:gd name="connsiteY4" fmla="*/ 6970017 h 6970017"/>
              <a:gd name="connsiteX5" fmla="*/ 0 w 8236099"/>
              <a:gd name="connsiteY5" fmla="*/ 738257 h 6970017"/>
              <a:gd name="connsiteX0" fmla="*/ 0 w 8248395"/>
              <a:gd name="connsiteY0" fmla="*/ 738257 h 7203166"/>
              <a:gd name="connsiteX1" fmla="*/ 3482566 w 8248395"/>
              <a:gd name="connsiteY1" fmla="*/ 301805 h 7203166"/>
              <a:gd name="connsiteX2" fmla="*/ 8184609 w 8248395"/>
              <a:gd name="connsiteY2" fmla="*/ 1034820 h 7203166"/>
              <a:gd name="connsiteX3" fmla="*/ 8248395 w 8248395"/>
              <a:gd name="connsiteY3" fmla="*/ 7203166 h 7203166"/>
              <a:gd name="connsiteX4" fmla="*/ 7435 w 8248395"/>
              <a:gd name="connsiteY4" fmla="*/ 6970017 h 7203166"/>
              <a:gd name="connsiteX5" fmla="*/ 0 w 8248395"/>
              <a:gd name="connsiteY5" fmla="*/ 738257 h 7203166"/>
              <a:gd name="connsiteX0" fmla="*/ 0 w 8248395"/>
              <a:gd name="connsiteY0" fmla="*/ 586920 h 7051829"/>
              <a:gd name="connsiteX1" fmla="*/ 3482566 w 8248395"/>
              <a:gd name="connsiteY1" fmla="*/ 150468 h 7051829"/>
              <a:gd name="connsiteX2" fmla="*/ 8184609 w 8248395"/>
              <a:gd name="connsiteY2" fmla="*/ 883483 h 7051829"/>
              <a:gd name="connsiteX3" fmla="*/ 8248395 w 8248395"/>
              <a:gd name="connsiteY3" fmla="*/ 7051829 h 7051829"/>
              <a:gd name="connsiteX4" fmla="*/ 7435 w 8248395"/>
              <a:gd name="connsiteY4" fmla="*/ 6818680 h 7051829"/>
              <a:gd name="connsiteX5" fmla="*/ 0 w 8248395"/>
              <a:gd name="connsiteY5" fmla="*/ 586920 h 7051829"/>
              <a:gd name="connsiteX0" fmla="*/ 0 w 8248395"/>
              <a:gd name="connsiteY0" fmla="*/ 638211 h 7103120"/>
              <a:gd name="connsiteX1" fmla="*/ 8184609 w 8248395"/>
              <a:gd name="connsiteY1" fmla="*/ 934774 h 7103120"/>
              <a:gd name="connsiteX2" fmla="*/ 8248395 w 8248395"/>
              <a:gd name="connsiteY2" fmla="*/ 7103120 h 7103120"/>
              <a:gd name="connsiteX3" fmla="*/ 7435 w 8248395"/>
              <a:gd name="connsiteY3" fmla="*/ 6869971 h 7103120"/>
              <a:gd name="connsiteX4" fmla="*/ 0 w 8248395"/>
              <a:gd name="connsiteY4" fmla="*/ 638211 h 7103120"/>
              <a:gd name="connsiteX0" fmla="*/ 0 w 8259379"/>
              <a:gd name="connsiteY0" fmla="*/ 676991 h 7141900"/>
              <a:gd name="connsiteX1" fmla="*/ 8258389 w 8259379"/>
              <a:gd name="connsiteY1" fmla="*/ 882444 h 7141900"/>
              <a:gd name="connsiteX2" fmla="*/ 8248395 w 8259379"/>
              <a:gd name="connsiteY2" fmla="*/ 7141900 h 7141900"/>
              <a:gd name="connsiteX3" fmla="*/ 7435 w 8259379"/>
              <a:gd name="connsiteY3" fmla="*/ 6908751 h 7141900"/>
              <a:gd name="connsiteX4" fmla="*/ 0 w 8259379"/>
              <a:gd name="connsiteY4" fmla="*/ 676991 h 7141900"/>
              <a:gd name="connsiteX0" fmla="*/ 0 w 8259379"/>
              <a:gd name="connsiteY0" fmla="*/ 13076 h 6477985"/>
              <a:gd name="connsiteX1" fmla="*/ 8258389 w 8259379"/>
              <a:gd name="connsiteY1" fmla="*/ 218529 h 6477985"/>
              <a:gd name="connsiteX2" fmla="*/ 8248395 w 8259379"/>
              <a:gd name="connsiteY2" fmla="*/ 6477985 h 6477985"/>
              <a:gd name="connsiteX3" fmla="*/ 7435 w 8259379"/>
              <a:gd name="connsiteY3" fmla="*/ 6244836 h 6477985"/>
              <a:gd name="connsiteX4" fmla="*/ 0 w 8259379"/>
              <a:gd name="connsiteY4" fmla="*/ 13076 h 6477985"/>
              <a:gd name="connsiteX0" fmla="*/ 0 w 8259379"/>
              <a:gd name="connsiteY0" fmla="*/ 72833 h 6537742"/>
              <a:gd name="connsiteX1" fmla="*/ 8258389 w 8259379"/>
              <a:gd name="connsiteY1" fmla="*/ 278286 h 6537742"/>
              <a:gd name="connsiteX2" fmla="*/ 8248395 w 8259379"/>
              <a:gd name="connsiteY2" fmla="*/ 6537742 h 6537742"/>
              <a:gd name="connsiteX3" fmla="*/ 7435 w 8259379"/>
              <a:gd name="connsiteY3" fmla="*/ 6304593 h 6537742"/>
              <a:gd name="connsiteX4" fmla="*/ 0 w 8259379"/>
              <a:gd name="connsiteY4" fmla="*/ 72833 h 6537742"/>
              <a:gd name="connsiteX0" fmla="*/ 0 w 8259379"/>
              <a:gd name="connsiteY0" fmla="*/ 72833 h 6537742"/>
              <a:gd name="connsiteX1" fmla="*/ 8258389 w 8259379"/>
              <a:gd name="connsiteY1" fmla="*/ 278286 h 6537742"/>
              <a:gd name="connsiteX2" fmla="*/ 8248395 w 8259379"/>
              <a:gd name="connsiteY2" fmla="*/ 6537742 h 6537742"/>
              <a:gd name="connsiteX3" fmla="*/ 1016 w 8259379"/>
              <a:gd name="connsiteY3" fmla="*/ 1538458 h 6537742"/>
              <a:gd name="connsiteX4" fmla="*/ 0 w 8259379"/>
              <a:gd name="connsiteY4" fmla="*/ 72833 h 6537742"/>
              <a:gd name="connsiteX0" fmla="*/ 0 w 8258427"/>
              <a:gd name="connsiteY0" fmla="*/ 72833 h 1563666"/>
              <a:gd name="connsiteX1" fmla="*/ 8258389 w 8258427"/>
              <a:gd name="connsiteY1" fmla="*/ 278286 h 1563666"/>
              <a:gd name="connsiteX2" fmla="*/ 7625715 w 8258427"/>
              <a:gd name="connsiteY2" fmla="*/ 1559778 h 1563666"/>
              <a:gd name="connsiteX3" fmla="*/ 1016 w 8258427"/>
              <a:gd name="connsiteY3" fmla="*/ 1538458 h 1563666"/>
              <a:gd name="connsiteX4" fmla="*/ 0 w 8258427"/>
              <a:gd name="connsiteY4" fmla="*/ 72833 h 1563666"/>
              <a:gd name="connsiteX0" fmla="*/ 0 w 7625715"/>
              <a:gd name="connsiteY0" fmla="*/ 48159 h 1538992"/>
              <a:gd name="connsiteX1" fmla="*/ 7622870 w 7625715"/>
              <a:gd name="connsiteY1" fmla="*/ 280093 h 1538992"/>
              <a:gd name="connsiteX2" fmla="*/ 7625715 w 7625715"/>
              <a:gd name="connsiteY2" fmla="*/ 1535104 h 1538992"/>
              <a:gd name="connsiteX3" fmla="*/ 1016 w 7625715"/>
              <a:gd name="connsiteY3" fmla="*/ 1513784 h 1538992"/>
              <a:gd name="connsiteX4" fmla="*/ 0 w 7625715"/>
              <a:gd name="connsiteY4" fmla="*/ 48159 h 1538992"/>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5715"/>
              <a:gd name="connsiteY0" fmla="*/ 48155 h 1538988"/>
              <a:gd name="connsiteX1" fmla="*/ 7622870 w 7625715"/>
              <a:gd name="connsiteY1" fmla="*/ 280089 h 1538988"/>
              <a:gd name="connsiteX2" fmla="*/ 7625715 w 7625715"/>
              <a:gd name="connsiteY2" fmla="*/ 1535100 h 1538988"/>
              <a:gd name="connsiteX3" fmla="*/ 1016 w 7625715"/>
              <a:gd name="connsiteY3" fmla="*/ 1513780 h 1538988"/>
              <a:gd name="connsiteX4" fmla="*/ 0 w 7625715"/>
              <a:gd name="connsiteY4" fmla="*/ 48155 h 1538988"/>
              <a:gd name="connsiteX0" fmla="*/ 0 w 7622872"/>
              <a:gd name="connsiteY0" fmla="*/ 48155 h 1529644"/>
              <a:gd name="connsiteX1" fmla="*/ 7622870 w 7622872"/>
              <a:gd name="connsiteY1" fmla="*/ 280089 h 1529644"/>
              <a:gd name="connsiteX2" fmla="*/ 7395928 w 7622872"/>
              <a:gd name="connsiteY2" fmla="*/ 1432046 h 1529644"/>
              <a:gd name="connsiteX3" fmla="*/ 1016 w 7622872"/>
              <a:gd name="connsiteY3" fmla="*/ 1513780 h 1529644"/>
              <a:gd name="connsiteX4" fmla="*/ 0 w 7622872"/>
              <a:gd name="connsiteY4" fmla="*/ 48155 h 1529644"/>
              <a:gd name="connsiteX0" fmla="*/ 0 w 7395928"/>
              <a:gd name="connsiteY0" fmla="*/ 240829 h 1722318"/>
              <a:gd name="connsiteX1" fmla="*/ 7360257 w 7395928"/>
              <a:gd name="connsiteY1" fmla="*/ 266657 h 1722318"/>
              <a:gd name="connsiteX2" fmla="*/ 7395928 w 7395928"/>
              <a:gd name="connsiteY2" fmla="*/ 1624720 h 1722318"/>
              <a:gd name="connsiteX3" fmla="*/ 1016 w 7395928"/>
              <a:gd name="connsiteY3" fmla="*/ 1706454 h 1722318"/>
              <a:gd name="connsiteX4" fmla="*/ 0 w 7395928"/>
              <a:gd name="connsiteY4" fmla="*/ 240829 h 1722318"/>
              <a:gd name="connsiteX0" fmla="*/ 0 w 7371308"/>
              <a:gd name="connsiteY0" fmla="*/ 240829 h 1720598"/>
              <a:gd name="connsiteX1" fmla="*/ 7360257 w 7371308"/>
              <a:gd name="connsiteY1" fmla="*/ 266657 h 1720598"/>
              <a:gd name="connsiteX2" fmla="*/ 7371308 w 7371308"/>
              <a:gd name="connsiteY2" fmla="*/ 1590369 h 1720598"/>
              <a:gd name="connsiteX3" fmla="*/ 1016 w 7371308"/>
              <a:gd name="connsiteY3" fmla="*/ 1706454 h 1720598"/>
              <a:gd name="connsiteX4" fmla="*/ 0 w 7371308"/>
              <a:gd name="connsiteY4" fmla="*/ 240829 h 1720598"/>
              <a:gd name="connsiteX0" fmla="*/ 0 w 7371308"/>
              <a:gd name="connsiteY0" fmla="*/ 240829 h 1720594"/>
              <a:gd name="connsiteX1" fmla="*/ 7360257 w 7371308"/>
              <a:gd name="connsiteY1" fmla="*/ 266657 h 1720594"/>
              <a:gd name="connsiteX2" fmla="*/ 7371308 w 7371308"/>
              <a:gd name="connsiteY2" fmla="*/ 1590369 h 1720594"/>
              <a:gd name="connsiteX3" fmla="*/ 1016 w 7371308"/>
              <a:gd name="connsiteY3" fmla="*/ 1706454 h 1720594"/>
              <a:gd name="connsiteX4" fmla="*/ 0 w 7371308"/>
              <a:gd name="connsiteY4" fmla="*/ 240829 h 1720594"/>
              <a:gd name="connsiteX0" fmla="*/ 0 w 7371308"/>
              <a:gd name="connsiteY0" fmla="*/ 240829 h 1590369"/>
              <a:gd name="connsiteX1" fmla="*/ 7360257 w 7371308"/>
              <a:gd name="connsiteY1" fmla="*/ 266657 h 1590369"/>
              <a:gd name="connsiteX2" fmla="*/ 7371308 w 7371308"/>
              <a:gd name="connsiteY2" fmla="*/ 1590369 h 1590369"/>
              <a:gd name="connsiteX3" fmla="*/ 1016 w 7371308"/>
              <a:gd name="connsiteY3" fmla="*/ 1534696 h 1590369"/>
              <a:gd name="connsiteX4" fmla="*/ 0 w 7371308"/>
              <a:gd name="connsiteY4" fmla="*/ 240829 h 159036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71308" h="1590369">
                <a:moveTo>
                  <a:pt x="0" y="240829"/>
                </a:moveTo>
                <a:cubicBezTo>
                  <a:pt x="1879315" y="2759211"/>
                  <a:pt x="5653520" y="-993039"/>
                  <a:pt x="7360257" y="266657"/>
                </a:cubicBezTo>
                <a:cubicBezTo>
                  <a:pt x="7363941" y="707894"/>
                  <a:pt x="7367624" y="1149132"/>
                  <a:pt x="7371308" y="1590369"/>
                </a:cubicBezTo>
                <a:cubicBezTo>
                  <a:pt x="4624321" y="1512653"/>
                  <a:pt x="2748003" y="1612412"/>
                  <a:pt x="1016" y="1534696"/>
                </a:cubicBezTo>
                <a:cubicBezTo>
                  <a:pt x="677" y="1046154"/>
                  <a:pt x="339" y="729371"/>
                  <a:pt x="0" y="240829"/>
                </a:cubicBezTo>
                <a:close/>
              </a:path>
            </a:pathLst>
          </a:custGeom>
          <a:gradFill flip="none" rotWithShape="1">
            <a:gsLst>
              <a:gs pos="82000">
                <a:schemeClr val="bg1">
                  <a:alpha val="0"/>
                </a:schemeClr>
              </a:gs>
              <a:gs pos="0">
                <a:schemeClr val="accent6">
                  <a:alpha val="42000"/>
                </a:schemeClr>
              </a:gs>
              <a:gs pos="32000">
                <a:schemeClr val="accent6">
                  <a:alpha val="24000"/>
                </a:schemeClr>
              </a:gs>
            </a:gsLst>
            <a:lin ang="5400000" scaled="1"/>
            <a:tileRect/>
          </a:gra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2" name="Полилиния 41">
            <a:extLst>
              <a:ext uri="{FF2B5EF4-FFF2-40B4-BE49-F238E27FC236}">
                <a16:creationId xmlns:a16="http://schemas.microsoft.com/office/drawing/2014/main" id="{00000000-0008-0000-0000-00002A000000}"/>
              </a:ext>
            </a:extLst>
          </xdr:cNvPr>
          <xdr:cNvSpPr/>
        </xdr:nvSpPr>
        <xdr:spPr>
          <a:xfrm flipV="1">
            <a:off x="341193" y="1174960"/>
            <a:ext cx="8273347" cy="302289"/>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7878384"/>
              <a:gd name="connsiteY0" fmla="*/ 231491 h 956412"/>
              <a:gd name="connsiteX1" fmla="*/ 7878384 w 7878384"/>
              <a:gd name="connsiteY1" fmla="*/ 168089 h 956412"/>
            </a:gdLst>
            <a:ahLst/>
            <a:cxnLst>
              <a:cxn ang="0">
                <a:pos x="connsiteX0" y="connsiteY0"/>
              </a:cxn>
              <a:cxn ang="0">
                <a:pos x="connsiteX1" y="connsiteY1"/>
              </a:cxn>
            </a:cxnLst>
            <a:rect l="l" t="t" r="r" b="b"/>
            <a:pathLst>
              <a:path w="7878384" h="956412">
                <a:moveTo>
                  <a:pt x="0" y="231491"/>
                </a:moveTo>
                <a:cubicBezTo>
                  <a:pt x="1759324" y="-857189"/>
                  <a:pt x="6324706" y="2370481"/>
                  <a:pt x="7878384" y="168089"/>
                </a:cubicBezTo>
              </a:path>
            </a:pathLst>
          </a:custGeom>
          <a:noFill/>
          <a:ln w="50800">
            <a:gradFill flip="none" rotWithShape="1">
              <a:gsLst>
                <a:gs pos="0">
                  <a:schemeClr val="accent6">
                    <a:alpha val="35000"/>
                  </a:schemeClr>
                </a:gs>
                <a:gs pos="41000">
                  <a:schemeClr val="accent6">
                    <a:alpha val="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3" name="Полилиния 42">
            <a:extLst>
              <a:ext uri="{FF2B5EF4-FFF2-40B4-BE49-F238E27FC236}">
                <a16:creationId xmlns:a16="http://schemas.microsoft.com/office/drawing/2014/main" id="{00000000-0008-0000-0000-00002B000000}"/>
              </a:ext>
            </a:extLst>
          </xdr:cNvPr>
          <xdr:cNvSpPr/>
        </xdr:nvSpPr>
        <xdr:spPr>
          <a:xfrm flipH="1" flipV="1">
            <a:off x="350645" y="1340732"/>
            <a:ext cx="8261062" cy="41341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47550"/>
              <a:gd name="connsiteY0" fmla="*/ 205805 h 1321597"/>
              <a:gd name="connsiteX1" fmla="*/ 8247550 w 8247550"/>
              <a:gd name="connsiteY1" fmla="*/ 606837 h 1321597"/>
              <a:gd name="connsiteX0" fmla="*/ 0 w 8247550"/>
              <a:gd name="connsiteY0" fmla="*/ 0 h 1832736"/>
              <a:gd name="connsiteX1" fmla="*/ 8247550 w 8247550"/>
              <a:gd name="connsiteY1" fmla="*/ 401032 h 1832736"/>
              <a:gd name="connsiteX0" fmla="*/ 0 w 8157917"/>
              <a:gd name="connsiteY0" fmla="*/ 0 h 2408623"/>
              <a:gd name="connsiteX1" fmla="*/ 8157917 w 8157917"/>
              <a:gd name="connsiteY1" fmla="*/ 1292955 h 2408623"/>
              <a:gd name="connsiteX0" fmla="*/ 0 w 8157917"/>
              <a:gd name="connsiteY0" fmla="*/ 0 h 1292955"/>
              <a:gd name="connsiteX1" fmla="*/ 8157917 w 8157917"/>
              <a:gd name="connsiteY1" fmla="*/ 1292955 h 1292955"/>
              <a:gd name="connsiteX0" fmla="*/ 0 w 8157917"/>
              <a:gd name="connsiteY0" fmla="*/ 0 h 1292955"/>
              <a:gd name="connsiteX1" fmla="*/ 8157917 w 8157917"/>
              <a:gd name="connsiteY1" fmla="*/ 1292955 h 1292955"/>
              <a:gd name="connsiteX0" fmla="*/ 0 w 7840753"/>
              <a:gd name="connsiteY0" fmla="*/ 0 h 1249707"/>
              <a:gd name="connsiteX1" fmla="*/ 7840753 w 7840753"/>
              <a:gd name="connsiteY1" fmla="*/ 1128653 h 1249707"/>
              <a:gd name="connsiteX0" fmla="*/ 0 w 7840753"/>
              <a:gd name="connsiteY0" fmla="*/ 0 h 1309691"/>
              <a:gd name="connsiteX1" fmla="*/ 7840753 w 7840753"/>
              <a:gd name="connsiteY1" fmla="*/ 1128653 h 1309691"/>
              <a:gd name="connsiteX0" fmla="*/ 0 w 7826963"/>
              <a:gd name="connsiteY0" fmla="*/ 0 h 1284686"/>
              <a:gd name="connsiteX1" fmla="*/ 7826963 w 7826963"/>
              <a:gd name="connsiteY1" fmla="*/ 1011294 h 1284686"/>
              <a:gd name="connsiteX0" fmla="*/ 0 w 8157917"/>
              <a:gd name="connsiteY0" fmla="*/ 0 h 1357465"/>
              <a:gd name="connsiteX1" fmla="*/ 8157917 w 8157917"/>
              <a:gd name="connsiteY1" fmla="*/ 1339898 h 1357465"/>
              <a:gd name="connsiteX0" fmla="*/ 0 w 8157917"/>
              <a:gd name="connsiteY0" fmla="*/ 0 h 1339898"/>
              <a:gd name="connsiteX1" fmla="*/ 8157917 w 8157917"/>
              <a:gd name="connsiteY1" fmla="*/ 1339898 h 1339898"/>
              <a:gd name="connsiteX0" fmla="*/ 0 w 8157917"/>
              <a:gd name="connsiteY0" fmla="*/ 0 h 1339898"/>
              <a:gd name="connsiteX1" fmla="*/ 8157917 w 8157917"/>
              <a:gd name="connsiteY1" fmla="*/ 1339898 h 1339898"/>
              <a:gd name="connsiteX0" fmla="*/ 0 w 8171707"/>
              <a:gd name="connsiteY0" fmla="*/ 0 h 1339898"/>
              <a:gd name="connsiteX1" fmla="*/ 8171707 w 8171707"/>
              <a:gd name="connsiteY1" fmla="*/ 1339898 h 1339898"/>
              <a:gd name="connsiteX0" fmla="*/ 0 w 8171707"/>
              <a:gd name="connsiteY0" fmla="*/ 0 h 1339898"/>
              <a:gd name="connsiteX1" fmla="*/ 8171707 w 8171707"/>
              <a:gd name="connsiteY1" fmla="*/ 1339898 h 1339898"/>
              <a:gd name="connsiteX0" fmla="*/ 0 w 7880859"/>
              <a:gd name="connsiteY0" fmla="*/ 0 h 1265562"/>
              <a:gd name="connsiteX1" fmla="*/ 7880859 w 7880859"/>
              <a:gd name="connsiteY1" fmla="*/ 1249048 h 1265562"/>
              <a:gd name="connsiteX0" fmla="*/ 0 w 7872045"/>
              <a:gd name="connsiteY0" fmla="*/ 0 h 1237031"/>
              <a:gd name="connsiteX1" fmla="*/ 7872045 w 7872045"/>
              <a:gd name="connsiteY1" fmla="*/ 1097632 h 1237031"/>
              <a:gd name="connsiteX0" fmla="*/ 0 w 7872045"/>
              <a:gd name="connsiteY0" fmla="*/ 0 h 1272541"/>
              <a:gd name="connsiteX1" fmla="*/ 7872045 w 7872045"/>
              <a:gd name="connsiteY1" fmla="*/ 1097632 h 1272541"/>
              <a:gd name="connsiteX0" fmla="*/ 0 w 7872045"/>
              <a:gd name="connsiteY0" fmla="*/ 0 h 1212261"/>
              <a:gd name="connsiteX1" fmla="*/ 7872045 w 7872045"/>
              <a:gd name="connsiteY1" fmla="*/ 770861 h 1212261"/>
              <a:gd name="connsiteX0" fmla="*/ 0 w 7872045"/>
              <a:gd name="connsiteY0" fmla="*/ 0 h 1308965"/>
              <a:gd name="connsiteX1" fmla="*/ 7872045 w 7872045"/>
              <a:gd name="connsiteY1" fmla="*/ 770861 h 1308965"/>
              <a:gd name="connsiteX0" fmla="*/ 0 w 7872045"/>
              <a:gd name="connsiteY0" fmla="*/ 0 h 1335050"/>
              <a:gd name="connsiteX1" fmla="*/ 7872045 w 7872045"/>
              <a:gd name="connsiteY1" fmla="*/ 896544 h 1335050"/>
              <a:gd name="connsiteX0" fmla="*/ 0 w 7872045"/>
              <a:gd name="connsiteY0" fmla="*/ 0 h 1368450"/>
              <a:gd name="connsiteX1" fmla="*/ 7872045 w 7872045"/>
              <a:gd name="connsiteY1" fmla="*/ 896544 h 1368450"/>
              <a:gd name="connsiteX0" fmla="*/ 0 w 7872045"/>
              <a:gd name="connsiteY0" fmla="*/ 0 h 1339734"/>
              <a:gd name="connsiteX1" fmla="*/ 7872045 w 7872045"/>
              <a:gd name="connsiteY1" fmla="*/ 896544 h 1339734"/>
              <a:gd name="connsiteX0" fmla="*/ 0 w 7872045"/>
              <a:gd name="connsiteY0" fmla="*/ 0 h 1350555"/>
              <a:gd name="connsiteX1" fmla="*/ 7872045 w 7872045"/>
              <a:gd name="connsiteY1" fmla="*/ 946817 h 1350555"/>
              <a:gd name="connsiteX0" fmla="*/ 0 w 7872045"/>
              <a:gd name="connsiteY0" fmla="*/ 0 h 1284040"/>
              <a:gd name="connsiteX1" fmla="*/ 7872045 w 7872045"/>
              <a:gd name="connsiteY1" fmla="*/ 946817 h 1284040"/>
              <a:gd name="connsiteX0" fmla="*/ 0 w 7872045"/>
              <a:gd name="connsiteY0" fmla="*/ 0 h 1317295"/>
              <a:gd name="connsiteX1" fmla="*/ 7872045 w 7872045"/>
              <a:gd name="connsiteY1" fmla="*/ 946817 h 1317295"/>
            </a:gdLst>
            <a:ahLst/>
            <a:cxnLst>
              <a:cxn ang="0">
                <a:pos x="connsiteX0" y="connsiteY0"/>
              </a:cxn>
              <a:cxn ang="0">
                <a:pos x="connsiteX1" y="connsiteY1"/>
              </a:cxn>
            </a:cxnLst>
            <a:rect l="l" t="t" r="r" b="b"/>
            <a:pathLst>
              <a:path w="7872045" h="1317295">
                <a:moveTo>
                  <a:pt x="0" y="0"/>
                </a:moveTo>
                <a:cubicBezTo>
                  <a:pt x="1526382" y="3342491"/>
                  <a:pt x="4648800" y="-964598"/>
                  <a:pt x="7872045" y="946817"/>
                </a:cubicBezTo>
              </a:path>
            </a:pathLst>
          </a:custGeom>
          <a:noFill/>
          <a:ln w="19050">
            <a:gradFill flip="none" rotWithShape="1">
              <a:gsLst>
                <a:gs pos="0">
                  <a:schemeClr val="accent1"/>
                </a:gs>
                <a:gs pos="41000">
                  <a:schemeClr val="accent1">
                    <a:alpha val="47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4" name="Полилиния 43">
            <a:extLst>
              <a:ext uri="{FF2B5EF4-FFF2-40B4-BE49-F238E27FC236}">
                <a16:creationId xmlns:a16="http://schemas.microsoft.com/office/drawing/2014/main" id="{00000000-0008-0000-0000-00002C000000}"/>
              </a:ext>
            </a:extLst>
          </xdr:cNvPr>
          <xdr:cNvSpPr/>
        </xdr:nvSpPr>
        <xdr:spPr>
          <a:xfrm flipV="1">
            <a:off x="355257" y="1145591"/>
            <a:ext cx="8281429" cy="328144"/>
          </a:xfrm>
          <a:custGeom>
            <a:avLst/>
            <a:gdLst>
              <a:gd name="connsiteX0" fmla="*/ 38100 w 8248650"/>
              <a:gd name="connsiteY0" fmla="*/ 0 h 3686175"/>
              <a:gd name="connsiteX1" fmla="*/ 4857750 w 8248650"/>
              <a:gd name="connsiteY1" fmla="*/ 962025 h 3686175"/>
              <a:gd name="connsiteX2" fmla="*/ 8248650 w 8248650"/>
              <a:gd name="connsiteY2" fmla="*/ 190500 h 3686175"/>
              <a:gd name="connsiteX3" fmla="*/ 8248650 w 8248650"/>
              <a:gd name="connsiteY3" fmla="*/ 3686175 h 3686175"/>
              <a:gd name="connsiteX4" fmla="*/ 0 w 8248650"/>
              <a:gd name="connsiteY4" fmla="*/ 3667125 h 3686175"/>
              <a:gd name="connsiteX5" fmla="*/ 38100 w 8248650"/>
              <a:gd name="connsiteY5" fmla="*/ 0 h 3686175"/>
              <a:gd name="connsiteX0" fmla="*/ 38100 w 8248650"/>
              <a:gd name="connsiteY0" fmla="*/ 90366 h 3776541"/>
              <a:gd name="connsiteX1" fmla="*/ 4857750 w 8248650"/>
              <a:gd name="connsiteY1" fmla="*/ 1052391 h 3776541"/>
              <a:gd name="connsiteX2" fmla="*/ 8248650 w 8248650"/>
              <a:gd name="connsiteY2" fmla="*/ 280866 h 3776541"/>
              <a:gd name="connsiteX3" fmla="*/ 8248650 w 8248650"/>
              <a:gd name="connsiteY3" fmla="*/ 3776541 h 3776541"/>
              <a:gd name="connsiteX4" fmla="*/ 0 w 8248650"/>
              <a:gd name="connsiteY4" fmla="*/ 3757491 h 3776541"/>
              <a:gd name="connsiteX5" fmla="*/ 38100 w 8248650"/>
              <a:gd name="connsiteY5" fmla="*/ 90366 h 3776541"/>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106024 h 3792199"/>
              <a:gd name="connsiteX1" fmla="*/ 4857750 w 8248650"/>
              <a:gd name="connsiteY1" fmla="*/ 1068049 h 3792199"/>
              <a:gd name="connsiteX2" fmla="*/ 8248650 w 8248650"/>
              <a:gd name="connsiteY2" fmla="*/ 1896724 h 3792199"/>
              <a:gd name="connsiteX3" fmla="*/ 8248650 w 8248650"/>
              <a:gd name="connsiteY3" fmla="*/ 3792199 h 3792199"/>
              <a:gd name="connsiteX4" fmla="*/ 0 w 8248650"/>
              <a:gd name="connsiteY4" fmla="*/ 3773149 h 3792199"/>
              <a:gd name="connsiteX5" fmla="*/ 38100 w 8248650"/>
              <a:gd name="connsiteY5" fmla="*/ 106024 h 3792199"/>
              <a:gd name="connsiteX0" fmla="*/ 38100 w 8248650"/>
              <a:gd name="connsiteY0" fmla="*/ 204054 h 3890229"/>
              <a:gd name="connsiteX1" fmla="*/ 4857750 w 8248650"/>
              <a:gd name="connsiteY1" fmla="*/ 1166079 h 3890229"/>
              <a:gd name="connsiteX2" fmla="*/ 8248650 w 8248650"/>
              <a:gd name="connsiteY2" fmla="*/ 1994754 h 3890229"/>
              <a:gd name="connsiteX3" fmla="*/ 8248650 w 8248650"/>
              <a:gd name="connsiteY3" fmla="*/ 3890229 h 3890229"/>
              <a:gd name="connsiteX4" fmla="*/ 0 w 8248650"/>
              <a:gd name="connsiteY4" fmla="*/ 3871179 h 3890229"/>
              <a:gd name="connsiteX5" fmla="*/ 38100 w 8248650"/>
              <a:gd name="connsiteY5" fmla="*/ 204054 h 3890229"/>
              <a:gd name="connsiteX0" fmla="*/ 38100 w 8248650"/>
              <a:gd name="connsiteY0" fmla="*/ 89615 h 3775790"/>
              <a:gd name="connsiteX1" fmla="*/ 4857750 w 8248650"/>
              <a:gd name="connsiteY1" fmla="*/ 1051640 h 3775790"/>
              <a:gd name="connsiteX2" fmla="*/ 8231357 w 8248650"/>
              <a:gd name="connsiteY2" fmla="*/ 190298 h 3775790"/>
              <a:gd name="connsiteX3" fmla="*/ 8248650 w 8248650"/>
              <a:gd name="connsiteY3" fmla="*/ 3775790 h 3775790"/>
              <a:gd name="connsiteX4" fmla="*/ 0 w 8248650"/>
              <a:gd name="connsiteY4" fmla="*/ 3756740 h 3775790"/>
              <a:gd name="connsiteX5" fmla="*/ 38100 w 8248650"/>
              <a:gd name="connsiteY5" fmla="*/ 89615 h 3775790"/>
              <a:gd name="connsiteX0" fmla="*/ 38100 w 8248650"/>
              <a:gd name="connsiteY0" fmla="*/ 366030 h 4052205"/>
              <a:gd name="connsiteX1" fmla="*/ 4857750 w 8248650"/>
              <a:gd name="connsiteY1" fmla="*/ 1328055 h 4052205"/>
              <a:gd name="connsiteX2" fmla="*/ 8231357 w 8248650"/>
              <a:gd name="connsiteY2" fmla="*/ 466713 h 4052205"/>
              <a:gd name="connsiteX3" fmla="*/ 8248650 w 8248650"/>
              <a:gd name="connsiteY3" fmla="*/ 4052205 h 4052205"/>
              <a:gd name="connsiteX4" fmla="*/ 0 w 8248650"/>
              <a:gd name="connsiteY4" fmla="*/ 4033155 h 4052205"/>
              <a:gd name="connsiteX5" fmla="*/ 38100 w 8248650"/>
              <a:gd name="connsiteY5" fmla="*/ 366030 h 405220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4750 h 4080925"/>
              <a:gd name="connsiteX1" fmla="*/ 4511894 w 8248650"/>
              <a:gd name="connsiteY1" fmla="*/ 1165451 h 4080925"/>
              <a:gd name="connsiteX2" fmla="*/ 8231357 w 8248650"/>
              <a:gd name="connsiteY2" fmla="*/ 495433 h 4080925"/>
              <a:gd name="connsiteX3" fmla="*/ 8248650 w 8248650"/>
              <a:gd name="connsiteY3" fmla="*/ 4080925 h 4080925"/>
              <a:gd name="connsiteX4" fmla="*/ 0 w 8248650"/>
              <a:gd name="connsiteY4" fmla="*/ 4061875 h 4080925"/>
              <a:gd name="connsiteX5" fmla="*/ 38100 w 8248650"/>
              <a:gd name="connsiteY5" fmla="*/ 394750 h 4080925"/>
              <a:gd name="connsiteX0" fmla="*/ 38100 w 8248650"/>
              <a:gd name="connsiteY0" fmla="*/ 399879 h 4086054"/>
              <a:gd name="connsiteX1" fmla="*/ 4935567 w 8248650"/>
              <a:gd name="connsiteY1" fmla="*/ 1138693 h 4086054"/>
              <a:gd name="connsiteX2" fmla="*/ 8231357 w 8248650"/>
              <a:gd name="connsiteY2" fmla="*/ 500562 h 4086054"/>
              <a:gd name="connsiteX3" fmla="*/ 8248650 w 8248650"/>
              <a:gd name="connsiteY3" fmla="*/ 4086054 h 4086054"/>
              <a:gd name="connsiteX4" fmla="*/ 0 w 8248650"/>
              <a:gd name="connsiteY4" fmla="*/ 4067004 h 4086054"/>
              <a:gd name="connsiteX5" fmla="*/ 38100 w 8248650"/>
              <a:gd name="connsiteY5" fmla="*/ 399879 h 4086054"/>
              <a:gd name="connsiteX0" fmla="*/ 38100 w 8248650"/>
              <a:gd name="connsiteY0" fmla="*/ 352863 h 4039038"/>
              <a:gd name="connsiteX1" fmla="*/ 4935567 w 8248650"/>
              <a:gd name="connsiteY1" fmla="*/ 1091677 h 4039038"/>
              <a:gd name="connsiteX2" fmla="*/ 8231357 w 8248650"/>
              <a:gd name="connsiteY2" fmla="*/ 453546 h 4039038"/>
              <a:gd name="connsiteX3" fmla="*/ 8248650 w 8248650"/>
              <a:gd name="connsiteY3" fmla="*/ 4039038 h 4039038"/>
              <a:gd name="connsiteX4" fmla="*/ 0 w 8248650"/>
              <a:gd name="connsiteY4" fmla="*/ 4019988 h 4039038"/>
              <a:gd name="connsiteX5" fmla="*/ 38100 w 8248650"/>
              <a:gd name="connsiteY5" fmla="*/ 352863 h 4039038"/>
              <a:gd name="connsiteX0" fmla="*/ 38100 w 8248650"/>
              <a:gd name="connsiteY0" fmla="*/ 360827 h 4047002"/>
              <a:gd name="connsiteX1" fmla="*/ 4935567 w 8248650"/>
              <a:gd name="connsiteY1" fmla="*/ 1099641 h 4047002"/>
              <a:gd name="connsiteX2" fmla="*/ 8231357 w 8248650"/>
              <a:gd name="connsiteY2" fmla="*/ 461510 h 4047002"/>
              <a:gd name="connsiteX3" fmla="*/ 8248650 w 8248650"/>
              <a:gd name="connsiteY3" fmla="*/ 4047002 h 4047002"/>
              <a:gd name="connsiteX4" fmla="*/ 0 w 8248650"/>
              <a:gd name="connsiteY4" fmla="*/ 4027952 h 4047002"/>
              <a:gd name="connsiteX5" fmla="*/ 38100 w 8248650"/>
              <a:gd name="connsiteY5" fmla="*/ 360827 h 4047002"/>
              <a:gd name="connsiteX0" fmla="*/ 38100 w 8248650"/>
              <a:gd name="connsiteY0" fmla="*/ 179712 h 3865887"/>
              <a:gd name="connsiteX1" fmla="*/ 4719408 w 8248650"/>
              <a:gd name="connsiteY1" fmla="*/ 3054963 h 3865887"/>
              <a:gd name="connsiteX2" fmla="*/ 8231357 w 8248650"/>
              <a:gd name="connsiteY2" fmla="*/ 280395 h 3865887"/>
              <a:gd name="connsiteX3" fmla="*/ 8248650 w 8248650"/>
              <a:gd name="connsiteY3" fmla="*/ 3865887 h 3865887"/>
              <a:gd name="connsiteX4" fmla="*/ 0 w 8248650"/>
              <a:gd name="connsiteY4" fmla="*/ 3846837 h 3865887"/>
              <a:gd name="connsiteX5" fmla="*/ 38100 w 8248650"/>
              <a:gd name="connsiteY5" fmla="*/ 179712 h 3865887"/>
              <a:gd name="connsiteX0" fmla="*/ 38100 w 8248650"/>
              <a:gd name="connsiteY0" fmla="*/ 327735 h 4013910"/>
              <a:gd name="connsiteX1" fmla="*/ 5264131 w 8248650"/>
              <a:gd name="connsiteY1" fmla="*/ 1321646 h 4013910"/>
              <a:gd name="connsiteX2" fmla="*/ 8231357 w 8248650"/>
              <a:gd name="connsiteY2" fmla="*/ 428418 h 4013910"/>
              <a:gd name="connsiteX3" fmla="*/ 8248650 w 8248650"/>
              <a:gd name="connsiteY3" fmla="*/ 4013910 h 4013910"/>
              <a:gd name="connsiteX4" fmla="*/ 0 w 8248650"/>
              <a:gd name="connsiteY4" fmla="*/ 3994860 h 4013910"/>
              <a:gd name="connsiteX5" fmla="*/ 38100 w 8248650"/>
              <a:gd name="connsiteY5" fmla="*/ 327735 h 4013910"/>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1110817 h 4063587"/>
              <a:gd name="connsiteX1" fmla="*/ 5264131 w 8248650"/>
              <a:gd name="connsiteY1" fmla="*/ 1371323 h 4063587"/>
              <a:gd name="connsiteX2" fmla="*/ 8231357 w 8248650"/>
              <a:gd name="connsiteY2" fmla="*/ 478095 h 4063587"/>
              <a:gd name="connsiteX3" fmla="*/ 8248650 w 8248650"/>
              <a:gd name="connsiteY3" fmla="*/ 4063587 h 4063587"/>
              <a:gd name="connsiteX4" fmla="*/ 0 w 8248650"/>
              <a:gd name="connsiteY4" fmla="*/ 4044537 h 4063587"/>
              <a:gd name="connsiteX5" fmla="*/ 72686 w 8248650"/>
              <a:gd name="connsiteY5" fmla="*/ 1110817 h 4063587"/>
              <a:gd name="connsiteX0" fmla="*/ 72686 w 8248650"/>
              <a:gd name="connsiteY0" fmla="*/ 2714788 h 5667558"/>
              <a:gd name="connsiteX1" fmla="*/ 4857751 w 8248650"/>
              <a:gd name="connsiteY1" fmla="*/ 9793 h 5667558"/>
              <a:gd name="connsiteX2" fmla="*/ 8231357 w 8248650"/>
              <a:gd name="connsiteY2" fmla="*/ 2082066 h 5667558"/>
              <a:gd name="connsiteX3" fmla="*/ 8248650 w 8248650"/>
              <a:gd name="connsiteY3" fmla="*/ 5667558 h 5667558"/>
              <a:gd name="connsiteX4" fmla="*/ 0 w 8248650"/>
              <a:gd name="connsiteY4" fmla="*/ 5648508 h 5667558"/>
              <a:gd name="connsiteX5" fmla="*/ 72686 w 8248650"/>
              <a:gd name="connsiteY5" fmla="*/ 2714788 h 5667558"/>
              <a:gd name="connsiteX0" fmla="*/ 72686 w 8248650"/>
              <a:gd name="connsiteY0" fmla="*/ 1097092 h 4049862"/>
              <a:gd name="connsiteX1" fmla="*/ 4166040 w 8248650"/>
              <a:gd name="connsiteY1" fmla="*/ 1453260 h 4049862"/>
              <a:gd name="connsiteX2" fmla="*/ 8231357 w 8248650"/>
              <a:gd name="connsiteY2" fmla="*/ 464370 h 4049862"/>
              <a:gd name="connsiteX3" fmla="*/ 8248650 w 8248650"/>
              <a:gd name="connsiteY3" fmla="*/ 4049862 h 4049862"/>
              <a:gd name="connsiteX4" fmla="*/ 0 w 8248650"/>
              <a:gd name="connsiteY4" fmla="*/ 4030812 h 4049862"/>
              <a:gd name="connsiteX5" fmla="*/ 72686 w 8248650"/>
              <a:gd name="connsiteY5" fmla="*/ 1097092 h 4049862"/>
              <a:gd name="connsiteX0" fmla="*/ 64040 w 8248650"/>
              <a:gd name="connsiteY0" fmla="*/ 325178 h 4362111"/>
              <a:gd name="connsiteX1" fmla="*/ 4166040 w 8248650"/>
              <a:gd name="connsiteY1" fmla="*/ 1765509 h 4362111"/>
              <a:gd name="connsiteX2" fmla="*/ 8231357 w 8248650"/>
              <a:gd name="connsiteY2" fmla="*/ 776619 h 4362111"/>
              <a:gd name="connsiteX3" fmla="*/ 8248650 w 8248650"/>
              <a:gd name="connsiteY3" fmla="*/ 4362111 h 4362111"/>
              <a:gd name="connsiteX4" fmla="*/ 0 w 8248650"/>
              <a:gd name="connsiteY4" fmla="*/ 4343061 h 4362111"/>
              <a:gd name="connsiteX5" fmla="*/ 64040 w 8248650"/>
              <a:gd name="connsiteY5" fmla="*/ 325178 h 4362111"/>
              <a:gd name="connsiteX0" fmla="*/ 64040 w 8248650"/>
              <a:gd name="connsiteY0" fmla="*/ 322403 h 4359336"/>
              <a:gd name="connsiteX1" fmla="*/ 4166040 w 8248650"/>
              <a:gd name="connsiteY1" fmla="*/ 1762734 h 4359336"/>
              <a:gd name="connsiteX2" fmla="*/ 8231357 w 8248650"/>
              <a:gd name="connsiteY2" fmla="*/ 773844 h 4359336"/>
              <a:gd name="connsiteX3" fmla="*/ 8248650 w 8248650"/>
              <a:gd name="connsiteY3" fmla="*/ 4359336 h 4359336"/>
              <a:gd name="connsiteX4" fmla="*/ 0 w 8248650"/>
              <a:gd name="connsiteY4" fmla="*/ 4340286 h 4359336"/>
              <a:gd name="connsiteX5" fmla="*/ 64040 w 8248650"/>
              <a:gd name="connsiteY5" fmla="*/ 322403 h 4359336"/>
              <a:gd name="connsiteX0" fmla="*/ 46748 w 8248650"/>
              <a:gd name="connsiteY0" fmla="*/ 330370 h 4303529"/>
              <a:gd name="connsiteX1" fmla="*/ 4166040 w 8248650"/>
              <a:gd name="connsiteY1" fmla="*/ 1706927 h 4303529"/>
              <a:gd name="connsiteX2" fmla="*/ 8231357 w 8248650"/>
              <a:gd name="connsiteY2" fmla="*/ 718037 h 4303529"/>
              <a:gd name="connsiteX3" fmla="*/ 8248650 w 8248650"/>
              <a:gd name="connsiteY3" fmla="*/ 4303529 h 4303529"/>
              <a:gd name="connsiteX4" fmla="*/ 0 w 8248650"/>
              <a:gd name="connsiteY4" fmla="*/ 4284479 h 4303529"/>
              <a:gd name="connsiteX5" fmla="*/ 46748 w 8248650"/>
              <a:gd name="connsiteY5" fmla="*/ 330370 h 4303529"/>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46748 w 8248650"/>
              <a:gd name="connsiteY0" fmla="*/ 343322 h 4316481"/>
              <a:gd name="connsiteX1" fmla="*/ 4217918 w 8248650"/>
              <a:gd name="connsiteY1" fmla="*/ 1592330 h 4316481"/>
              <a:gd name="connsiteX2" fmla="*/ 8231357 w 8248650"/>
              <a:gd name="connsiteY2" fmla="*/ 730989 h 4316481"/>
              <a:gd name="connsiteX3" fmla="*/ 8248650 w 8248650"/>
              <a:gd name="connsiteY3" fmla="*/ 4316481 h 4316481"/>
              <a:gd name="connsiteX4" fmla="*/ 0 w 8248650"/>
              <a:gd name="connsiteY4" fmla="*/ 4297431 h 4316481"/>
              <a:gd name="connsiteX5" fmla="*/ 46748 w 8248650"/>
              <a:gd name="connsiteY5" fmla="*/ 343322 h 4316481"/>
              <a:gd name="connsiteX0" fmla="*/ 8248650 w 8331655"/>
              <a:gd name="connsiteY0" fmla="*/ 4316481 h 4622597"/>
              <a:gd name="connsiteX1" fmla="*/ 0 w 8331655"/>
              <a:gd name="connsiteY1" fmla="*/ 4297431 h 4622597"/>
              <a:gd name="connsiteX2" fmla="*/ 46748 w 8331655"/>
              <a:gd name="connsiteY2" fmla="*/ 343322 h 4622597"/>
              <a:gd name="connsiteX3" fmla="*/ 4217918 w 8331655"/>
              <a:gd name="connsiteY3" fmla="*/ 1592330 h 4622597"/>
              <a:gd name="connsiteX4" fmla="*/ 8231357 w 8331655"/>
              <a:gd name="connsiteY4" fmla="*/ 730989 h 4622597"/>
              <a:gd name="connsiteX5" fmla="*/ 8331655 w 8331655"/>
              <a:gd name="connsiteY5" fmla="*/ 4622597 h 4622597"/>
              <a:gd name="connsiteX0" fmla="*/ 8248650 w 8248650"/>
              <a:gd name="connsiteY0" fmla="*/ 4316481 h 4316481"/>
              <a:gd name="connsiteX1" fmla="*/ 0 w 8248650"/>
              <a:gd name="connsiteY1" fmla="*/ 4297431 h 4316481"/>
              <a:gd name="connsiteX2" fmla="*/ 46748 w 8248650"/>
              <a:gd name="connsiteY2" fmla="*/ 343322 h 4316481"/>
              <a:gd name="connsiteX3" fmla="*/ 4217918 w 8248650"/>
              <a:gd name="connsiteY3" fmla="*/ 1592330 h 4316481"/>
              <a:gd name="connsiteX4" fmla="*/ 8231357 w 8248650"/>
              <a:gd name="connsiteY4" fmla="*/ 730989 h 4316481"/>
              <a:gd name="connsiteX0" fmla="*/ 0 w 8231357"/>
              <a:gd name="connsiteY0" fmla="*/ 4297431 h 4297432"/>
              <a:gd name="connsiteX1" fmla="*/ 46748 w 8231357"/>
              <a:gd name="connsiteY1" fmla="*/ 343322 h 4297432"/>
              <a:gd name="connsiteX2" fmla="*/ 4217918 w 8231357"/>
              <a:gd name="connsiteY2" fmla="*/ 1592330 h 4297432"/>
              <a:gd name="connsiteX3" fmla="*/ 8231357 w 8231357"/>
              <a:gd name="connsiteY3" fmla="*/ 730989 h 4297432"/>
              <a:gd name="connsiteX0" fmla="*/ 0 w 8184609"/>
              <a:gd name="connsiteY0" fmla="*/ 343322 h 1593639"/>
              <a:gd name="connsiteX1" fmla="*/ 4171170 w 8184609"/>
              <a:gd name="connsiteY1" fmla="*/ 1592330 h 1593639"/>
              <a:gd name="connsiteX2" fmla="*/ 8184609 w 8184609"/>
              <a:gd name="connsiteY2" fmla="*/ 730989 h 1593639"/>
              <a:gd name="connsiteX0" fmla="*/ 0 w 8155480"/>
              <a:gd name="connsiteY0" fmla="*/ 325345 h 1790000"/>
              <a:gd name="connsiteX1" fmla="*/ 4142041 w 8155480"/>
              <a:gd name="connsiteY1" fmla="*/ 1786933 h 1790000"/>
              <a:gd name="connsiteX2" fmla="*/ 8155480 w 8155480"/>
              <a:gd name="connsiteY2" fmla="*/ 925592 h 1790000"/>
              <a:gd name="connsiteX0" fmla="*/ 0 w 8155480"/>
              <a:gd name="connsiteY0" fmla="*/ 156844 h 1621499"/>
              <a:gd name="connsiteX1" fmla="*/ 4142041 w 8155480"/>
              <a:gd name="connsiteY1" fmla="*/ 1618432 h 1621499"/>
              <a:gd name="connsiteX2" fmla="*/ 8155480 w 8155480"/>
              <a:gd name="connsiteY2" fmla="*/ 757091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56844 h 1621499"/>
              <a:gd name="connsiteX1" fmla="*/ 4142041 w 8257432"/>
              <a:gd name="connsiteY1" fmla="*/ 1618432 h 1621499"/>
              <a:gd name="connsiteX2" fmla="*/ 8257432 w 8257432"/>
              <a:gd name="connsiteY2" fmla="*/ 757092 h 1621499"/>
              <a:gd name="connsiteX0" fmla="*/ 0 w 8257432"/>
              <a:gd name="connsiteY0" fmla="*/ 174256 h 1638911"/>
              <a:gd name="connsiteX1" fmla="*/ 4142041 w 8257432"/>
              <a:gd name="connsiteY1" fmla="*/ 1635844 h 1638911"/>
              <a:gd name="connsiteX2" fmla="*/ 8257432 w 8257432"/>
              <a:gd name="connsiteY2" fmla="*/ 774504 h 1638911"/>
              <a:gd name="connsiteX0" fmla="*/ 0 w 8257432"/>
              <a:gd name="connsiteY0" fmla="*/ 183362 h 1487199"/>
              <a:gd name="connsiteX1" fmla="*/ 4142041 w 8257432"/>
              <a:gd name="connsiteY1" fmla="*/ 1485514 h 1487199"/>
              <a:gd name="connsiteX2" fmla="*/ 8257432 w 8257432"/>
              <a:gd name="connsiteY2" fmla="*/ 624174 h 1487199"/>
              <a:gd name="connsiteX0" fmla="*/ 0 w 8257432"/>
              <a:gd name="connsiteY0" fmla="*/ 258924 h 1562757"/>
              <a:gd name="connsiteX1" fmla="*/ 4142041 w 8257432"/>
              <a:gd name="connsiteY1" fmla="*/ 1561076 h 1562757"/>
              <a:gd name="connsiteX2" fmla="*/ 8257432 w 8257432"/>
              <a:gd name="connsiteY2" fmla="*/ 699736 h 1562757"/>
              <a:gd name="connsiteX0" fmla="*/ 0 w 8257432"/>
              <a:gd name="connsiteY0" fmla="*/ 258924 h 1562968"/>
              <a:gd name="connsiteX1" fmla="*/ 4142041 w 8257432"/>
              <a:gd name="connsiteY1" fmla="*/ 1561076 h 1562968"/>
              <a:gd name="connsiteX2" fmla="*/ 8257432 w 8257432"/>
              <a:gd name="connsiteY2" fmla="*/ 699736 h 1562968"/>
              <a:gd name="connsiteX0" fmla="*/ 0 w 8257432"/>
              <a:gd name="connsiteY0" fmla="*/ 272630 h 1591785"/>
              <a:gd name="connsiteX1" fmla="*/ 4142041 w 8257432"/>
              <a:gd name="connsiteY1" fmla="*/ 1574782 h 1591785"/>
              <a:gd name="connsiteX2" fmla="*/ 8257432 w 8257432"/>
              <a:gd name="connsiteY2" fmla="*/ 713442 h 1591785"/>
              <a:gd name="connsiteX0" fmla="*/ 0 w 9263282"/>
              <a:gd name="connsiteY0" fmla="*/ 272630 h 5198896"/>
              <a:gd name="connsiteX1" fmla="*/ 4142041 w 9263282"/>
              <a:gd name="connsiteY1" fmla="*/ 1574782 h 5198896"/>
              <a:gd name="connsiteX2" fmla="*/ 9263282 w 9263282"/>
              <a:gd name="connsiteY2" fmla="*/ 5198896 h 5198896"/>
              <a:gd name="connsiteX0" fmla="*/ 0 w 9263282"/>
              <a:gd name="connsiteY0" fmla="*/ 1 h 4926267"/>
              <a:gd name="connsiteX1" fmla="*/ 9263282 w 9263282"/>
              <a:gd name="connsiteY1" fmla="*/ 4926267 h 4926267"/>
              <a:gd name="connsiteX0" fmla="*/ 0 w 8206178"/>
              <a:gd name="connsiteY0" fmla="*/ 1 h 3076814"/>
              <a:gd name="connsiteX1" fmla="*/ 8206178 w 8206178"/>
              <a:gd name="connsiteY1" fmla="*/ 3076814 h 3076814"/>
              <a:gd name="connsiteX0" fmla="*/ 0 w 8206178"/>
              <a:gd name="connsiteY0" fmla="*/ 1 h 3076814"/>
              <a:gd name="connsiteX1" fmla="*/ 8206178 w 8206178"/>
              <a:gd name="connsiteY1" fmla="*/ 3076814 h 3076814"/>
              <a:gd name="connsiteX0" fmla="*/ 0 w 8206178"/>
              <a:gd name="connsiteY0" fmla="*/ 178328 h 3255141"/>
              <a:gd name="connsiteX1" fmla="*/ 8206178 w 8206178"/>
              <a:gd name="connsiteY1" fmla="*/ 3255141 h 3255141"/>
              <a:gd name="connsiteX0" fmla="*/ 0 w 8151020"/>
              <a:gd name="connsiteY0" fmla="*/ 449692 h 1789592"/>
              <a:gd name="connsiteX1" fmla="*/ 8151020 w 8151020"/>
              <a:gd name="connsiteY1" fmla="*/ 1789593 h 1789592"/>
              <a:gd name="connsiteX0" fmla="*/ 0 w 8151020"/>
              <a:gd name="connsiteY0" fmla="*/ 197269 h 1537169"/>
              <a:gd name="connsiteX1" fmla="*/ 8151020 w 8151020"/>
              <a:gd name="connsiteY1" fmla="*/ 1537170 h 1537169"/>
              <a:gd name="connsiteX0" fmla="*/ 0 w 8157915"/>
              <a:gd name="connsiteY0" fmla="*/ 208140 h 1430684"/>
              <a:gd name="connsiteX1" fmla="*/ 8157915 w 8157915"/>
              <a:gd name="connsiteY1" fmla="*/ 1430684 h 1430684"/>
              <a:gd name="connsiteX0" fmla="*/ 0 w 8157915"/>
              <a:gd name="connsiteY0" fmla="*/ 188689 h 1411233"/>
              <a:gd name="connsiteX1" fmla="*/ 8157915 w 8157915"/>
              <a:gd name="connsiteY1" fmla="*/ 1411233 h 1411233"/>
              <a:gd name="connsiteX0" fmla="*/ 0 w 8268233"/>
              <a:gd name="connsiteY0" fmla="*/ 361585 h 457483"/>
              <a:gd name="connsiteX1" fmla="*/ 8268233 w 8268233"/>
              <a:gd name="connsiteY1" fmla="*/ 457483 h 457483"/>
              <a:gd name="connsiteX0" fmla="*/ 0 w 7695959"/>
              <a:gd name="connsiteY0" fmla="*/ 325244 h 561974"/>
              <a:gd name="connsiteX1" fmla="*/ 7695959 w 7695959"/>
              <a:gd name="connsiteY1" fmla="*/ 561974 h 561974"/>
              <a:gd name="connsiteX0" fmla="*/ 0 w 8213075"/>
              <a:gd name="connsiteY0" fmla="*/ 461395 h 461395"/>
              <a:gd name="connsiteX1" fmla="*/ 8213075 w 8213075"/>
              <a:gd name="connsiteY1" fmla="*/ 275635 h 461395"/>
              <a:gd name="connsiteX0" fmla="*/ 0 w 8213075"/>
              <a:gd name="connsiteY0" fmla="*/ 185761 h 713139"/>
              <a:gd name="connsiteX1" fmla="*/ 8213075 w 8213075"/>
              <a:gd name="connsiteY1" fmla="*/ 1 h 713139"/>
              <a:gd name="connsiteX0" fmla="*/ 0 w 8213075"/>
              <a:gd name="connsiteY0" fmla="*/ 255470 h 731696"/>
              <a:gd name="connsiteX1" fmla="*/ 8213075 w 8213075"/>
              <a:gd name="connsiteY1" fmla="*/ 69710 h 731696"/>
              <a:gd name="connsiteX0" fmla="*/ 0 w 8213075"/>
              <a:gd name="connsiteY0" fmla="*/ 263846 h 736402"/>
              <a:gd name="connsiteX1" fmla="*/ 8213075 w 8213075"/>
              <a:gd name="connsiteY1" fmla="*/ 78086 h 736402"/>
              <a:gd name="connsiteX0" fmla="*/ 0 w 8213075"/>
              <a:gd name="connsiteY0" fmla="*/ 239417 h 864052"/>
              <a:gd name="connsiteX1" fmla="*/ 8213075 w 8213075"/>
              <a:gd name="connsiteY1" fmla="*/ 53657 h 864052"/>
              <a:gd name="connsiteX0" fmla="*/ 0 w 8213075"/>
              <a:gd name="connsiteY0" fmla="*/ 255314 h 872277"/>
              <a:gd name="connsiteX1" fmla="*/ 8213075 w 8213075"/>
              <a:gd name="connsiteY1" fmla="*/ 69554 h 872277"/>
              <a:gd name="connsiteX0" fmla="*/ 0 w 7938231"/>
              <a:gd name="connsiteY0" fmla="*/ 249043 h 941390"/>
              <a:gd name="connsiteX1" fmla="*/ 7938231 w 7938231"/>
              <a:gd name="connsiteY1" fmla="*/ 155041 h 941390"/>
              <a:gd name="connsiteX0" fmla="*/ 0 w 7938231"/>
              <a:gd name="connsiteY0" fmla="*/ 143188 h 891171"/>
              <a:gd name="connsiteX1" fmla="*/ 7938231 w 7938231"/>
              <a:gd name="connsiteY1" fmla="*/ 49186 h 891171"/>
              <a:gd name="connsiteX0" fmla="*/ 0 w 7938231"/>
              <a:gd name="connsiteY0" fmla="*/ 170508 h 902660"/>
              <a:gd name="connsiteX1" fmla="*/ 7938231 w 7938231"/>
              <a:gd name="connsiteY1" fmla="*/ 76506 h 902660"/>
              <a:gd name="connsiteX0" fmla="*/ 0 w 7938231"/>
              <a:gd name="connsiteY0" fmla="*/ 164439 h 998006"/>
              <a:gd name="connsiteX1" fmla="*/ 7938231 w 7938231"/>
              <a:gd name="connsiteY1" fmla="*/ 195064 h 998006"/>
              <a:gd name="connsiteX0" fmla="*/ 0 w 7938231"/>
              <a:gd name="connsiteY0" fmla="*/ 121883 h 980145"/>
              <a:gd name="connsiteX1" fmla="*/ 7938231 w 7938231"/>
              <a:gd name="connsiteY1" fmla="*/ 152508 h 980145"/>
              <a:gd name="connsiteX0" fmla="*/ 0 w 7938231"/>
              <a:gd name="connsiteY0" fmla="*/ 164439 h 998006"/>
              <a:gd name="connsiteX1" fmla="*/ 7938231 w 7938231"/>
              <a:gd name="connsiteY1" fmla="*/ 195064 h 998006"/>
              <a:gd name="connsiteX0" fmla="*/ 0 w 7938231"/>
              <a:gd name="connsiteY0" fmla="*/ 164439 h 998006"/>
              <a:gd name="connsiteX1" fmla="*/ 7938231 w 7938231"/>
              <a:gd name="connsiteY1" fmla="*/ 195064 h 998006"/>
              <a:gd name="connsiteX0" fmla="*/ 0 w 7938231"/>
              <a:gd name="connsiteY0" fmla="*/ 160102 h 1036806"/>
              <a:gd name="connsiteX1" fmla="*/ 7938231 w 7938231"/>
              <a:gd name="connsiteY1" fmla="*/ 190727 h 1036806"/>
            </a:gdLst>
            <a:ahLst/>
            <a:cxnLst>
              <a:cxn ang="0">
                <a:pos x="connsiteX0" y="connsiteY0"/>
              </a:cxn>
              <a:cxn ang="0">
                <a:pos x="connsiteX1" y="connsiteY1"/>
              </a:cxn>
            </a:cxnLst>
            <a:rect l="l" t="t" r="r" b="b"/>
            <a:pathLst>
              <a:path w="7938231" h="1036806">
                <a:moveTo>
                  <a:pt x="0" y="160102"/>
                </a:moveTo>
                <a:cubicBezTo>
                  <a:pt x="2075597" y="-730833"/>
                  <a:pt x="6287931" y="2492821"/>
                  <a:pt x="7938231" y="190727"/>
                </a:cubicBezTo>
              </a:path>
            </a:pathLst>
          </a:custGeom>
          <a:noFill/>
          <a:ln w="19050">
            <a:gradFill flip="none" rotWithShape="1">
              <a:gsLst>
                <a:gs pos="0">
                  <a:schemeClr val="bg1">
                    <a:alpha val="0"/>
                  </a:schemeClr>
                </a:gs>
                <a:gs pos="41000">
                  <a:schemeClr val="bg1">
                    <a:alpha val="60000"/>
                  </a:schemeClr>
                </a:gs>
                <a:gs pos="100000">
                  <a:schemeClr val="bg1">
                    <a:alpha val="0"/>
                  </a:schemeClr>
                </a:gs>
              </a:gsLst>
              <a:lin ang="27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6" name="Прямоугольник 45">
            <a:extLst>
              <a:ext uri="{FF2B5EF4-FFF2-40B4-BE49-F238E27FC236}">
                <a16:creationId xmlns:a16="http://schemas.microsoft.com/office/drawing/2014/main" id="{00000000-0008-0000-0000-00002E000000}"/>
              </a:ext>
            </a:extLst>
          </xdr:cNvPr>
          <xdr:cNvSpPr/>
        </xdr:nvSpPr>
        <xdr:spPr>
          <a:xfrm>
            <a:off x="323849" y="304803"/>
            <a:ext cx="8302752" cy="6878636"/>
          </a:xfrm>
          <a:prstGeom prst="rect">
            <a:avLst/>
          </a:prstGeom>
          <a:noFill/>
          <a:ln w="571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mc:AlternateContent xmlns:mc="http://schemas.openxmlformats.org/markup-compatibility/2006">
    <mc:Choice xmlns:a14="http://schemas.microsoft.com/office/drawing/2010/main" Requires="a14">
      <xdr:twoCellAnchor editAs="absolute">
        <xdr:from>
          <xdr:col>34</xdr:col>
          <xdr:colOff>28575</xdr:colOff>
          <xdr:row>2</xdr:row>
          <xdr:rowOff>171450</xdr:rowOff>
        </xdr:from>
        <xdr:to>
          <xdr:col>34</xdr:col>
          <xdr:colOff>209550</xdr:colOff>
          <xdr:row>3</xdr:row>
          <xdr:rowOff>123825</xdr:rowOff>
        </xdr:to>
        <xdr:sp macro="" textlink="">
          <xdr:nvSpPr>
            <xdr:cNvPr id="1046" name="Счетчик 21"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Custom 2">
      <a:majorFont>
        <a:latin typeface="Segoe UI Light"/>
        <a:ea typeface=""/>
        <a:cs typeface=""/>
      </a:majorFont>
      <a:minorFont>
        <a:latin typeface="Segoe UI"/>
        <a:ea typeface=""/>
        <a:cs typeface=""/>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B52"/>
  <sheetViews>
    <sheetView tabSelected="1" zoomScaleNormal="100" workbookViewId="0">
      <selection activeCell="AL2" sqref="AL2"/>
    </sheetView>
  </sheetViews>
  <sheetFormatPr defaultRowHeight="14.25" x14ac:dyDescent="0.25"/>
  <cols>
    <col min="1" max="1" width="4.85546875" style="2" customWidth="1"/>
    <col min="2" max="3" width="3.7109375" style="2" customWidth="1"/>
    <col min="4" max="10" width="3.28515625" style="2" customWidth="1"/>
    <col min="11" max="11" width="5.7109375" style="2" customWidth="1"/>
    <col min="12" max="18" width="3.28515625" style="2" customWidth="1"/>
    <col min="19" max="19" width="5.7109375" style="2" customWidth="1"/>
    <col min="20" max="26" width="3.28515625" style="2" customWidth="1"/>
    <col min="27" max="27" width="5.7109375" style="2" customWidth="1"/>
    <col min="28" max="34" width="3.28515625" style="2" customWidth="1"/>
    <col min="35" max="36" width="3.7109375" style="2" customWidth="1"/>
    <col min="37" max="37" width="3.28515625" style="2" customWidth="1"/>
    <col min="38" max="16384" width="9.140625" style="2"/>
  </cols>
  <sheetData>
    <row r="1" spans="2:74" ht="22.5" customHeight="1" x14ac:dyDescent="0.25"/>
    <row r="2" spans="2:74" ht="18.75" customHeight="1" x14ac:dyDescent="0.25">
      <c r="B2" s="26"/>
      <c r="C2" s="26"/>
      <c r="D2" s="26"/>
      <c r="E2" s="26"/>
      <c r="F2" s="26"/>
      <c r="G2" s="29"/>
      <c r="H2" s="29"/>
      <c r="I2" s="29"/>
      <c r="J2" s="29"/>
      <c r="K2" s="29"/>
      <c r="L2" s="29"/>
      <c r="M2" s="29"/>
      <c r="N2" s="29"/>
      <c r="O2" s="29"/>
      <c r="P2" s="29"/>
      <c r="Q2" s="29"/>
      <c r="R2" s="29"/>
      <c r="S2" s="29"/>
      <c r="T2" s="29"/>
      <c r="U2" s="29"/>
      <c r="V2" s="29"/>
      <c r="W2" s="29"/>
      <c r="X2" s="29"/>
      <c r="Y2" s="29"/>
      <c r="Z2" s="28">
        <v>2021</v>
      </c>
      <c r="AA2" s="28"/>
      <c r="AB2" s="28"/>
      <c r="AC2" s="28"/>
      <c r="AD2" s="28"/>
      <c r="AE2" s="28"/>
      <c r="AF2" s="28"/>
      <c r="AG2" s="28"/>
      <c r="AH2" s="28"/>
      <c r="AI2" s="28"/>
      <c r="AJ2" s="26"/>
    </row>
    <row r="3" spans="2:74" ht="26.25" customHeight="1" x14ac:dyDescent="0.35">
      <c r="B3" s="26"/>
      <c r="C3" s="26"/>
      <c r="D3" s="26"/>
      <c r="E3" s="26"/>
      <c r="F3" s="26"/>
      <c r="G3" s="29"/>
      <c r="H3" s="29"/>
      <c r="I3" s="29"/>
      <c r="J3" s="29"/>
      <c r="K3" s="29"/>
      <c r="L3" s="29"/>
      <c r="M3" s="29"/>
      <c r="N3" s="29"/>
      <c r="O3" s="29"/>
      <c r="P3" s="29"/>
      <c r="Q3" s="29"/>
      <c r="R3" s="29"/>
      <c r="S3" s="29"/>
      <c r="T3" s="29"/>
      <c r="U3" s="29"/>
      <c r="V3" s="29"/>
      <c r="W3" s="29"/>
      <c r="X3" s="29"/>
      <c r="Y3" s="29"/>
      <c r="Z3" s="28"/>
      <c r="AA3" s="28"/>
      <c r="AB3" s="28"/>
      <c r="AC3" s="28"/>
      <c r="AD3" s="28"/>
      <c r="AE3" s="28"/>
      <c r="AF3" s="28"/>
      <c r="AG3" s="28"/>
      <c r="AH3" s="28"/>
      <c r="AI3" s="28"/>
      <c r="AJ3" s="26"/>
      <c r="AP3" s="16"/>
      <c r="AQ3" s="16"/>
      <c r="AR3" s="16"/>
      <c r="AS3" s="16"/>
      <c r="AT3" s="17"/>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row>
    <row r="4" spans="2:74" ht="30.75" customHeight="1" x14ac:dyDescent="0.25">
      <c r="B4" s="26"/>
      <c r="C4" s="26"/>
      <c r="D4" s="26"/>
      <c r="E4" s="26"/>
      <c r="F4" s="26"/>
      <c r="G4" s="29"/>
      <c r="H4" s="29"/>
      <c r="I4" s="29"/>
      <c r="J4" s="29"/>
      <c r="K4" s="29"/>
      <c r="L4" s="29"/>
      <c r="M4" s="29"/>
      <c r="N4" s="29"/>
      <c r="O4" s="29"/>
      <c r="P4" s="29"/>
      <c r="Q4" s="29"/>
      <c r="R4" s="29"/>
      <c r="S4" s="29"/>
      <c r="T4" s="29"/>
      <c r="U4" s="29"/>
      <c r="V4" s="29"/>
      <c r="W4" s="29"/>
      <c r="X4" s="29"/>
      <c r="Y4" s="29"/>
      <c r="Z4" s="28"/>
      <c r="AA4" s="28"/>
      <c r="AB4" s="28"/>
      <c r="AC4" s="28"/>
      <c r="AD4" s="28"/>
      <c r="AE4" s="28"/>
      <c r="AF4" s="28"/>
      <c r="AG4" s="28"/>
      <c r="AH4" s="28"/>
      <c r="AI4" s="28"/>
      <c r="AJ4" s="26"/>
      <c r="AL4" s="10"/>
      <c r="AM4" s="11"/>
      <c r="AN4" s="11"/>
      <c r="AO4" s="11"/>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row>
    <row r="5" spans="2:74" s="3" customFormat="1" ht="58.5" customHeight="1" x14ac:dyDescent="0.35">
      <c r="D5" s="30" t="s">
        <v>0</v>
      </c>
      <c r="E5" s="30"/>
      <c r="F5" s="30"/>
      <c r="G5" s="30"/>
      <c r="H5" s="30"/>
      <c r="I5" s="30"/>
      <c r="J5" s="30"/>
      <c r="K5" s="22"/>
      <c r="L5" s="30" t="s">
        <v>9</v>
      </c>
      <c r="M5" s="30"/>
      <c r="N5" s="30"/>
      <c r="O5" s="30"/>
      <c r="P5" s="30"/>
      <c r="Q5" s="30"/>
      <c r="R5" s="30"/>
      <c r="S5" s="22"/>
      <c r="T5" s="30" t="s">
        <v>12</v>
      </c>
      <c r="U5" s="30"/>
      <c r="V5" s="30"/>
      <c r="W5" s="30"/>
      <c r="X5" s="30"/>
      <c r="Y5" s="30"/>
      <c r="Z5" s="30"/>
      <c r="AA5" s="22"/>
      <c r="AB5" s="30" t="s">
        <v>15</v>
      </c>
      <c r="AC5" s="30"/>
      <c r="AD5" s="30"/>
      <c r="AE5" s="30"/>
      <c r="AF5" s="30"/>
      <c r="AG5" s="30"/>
      <c r="AH5" s="30"/>
      <c r="AI5" s="25"/>
      <c r="AJ5" s="25"/>
      <c r="AM5" s="12"/>
      <c r="AN5" s="12"/>
      <c r="AO5" s="12"/>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row>
    <row r="6" spans="2:74" ht="12.75" customHeight="1" x14ac:dyDescent="0.25">
      <c r="C6" s="4"/>
      <c r="D6" s="5" t="s">
        <v>1</v>
      </c>
      <c r="E6" s="5" t="s">
        <v>4</v>
      </c>
      <c r="F6" s="5" t="s">
        <v>5</v>
      </c>
      <c r="G6" s="5" t="s">
        <v>6</v>
      </c>
      <c r="H6" s="5" t="s">
        <v>7</v>
      </c>
      <c r="I6" s="5" t="s">
        <v>8</v>
      </c>
      <c r="J6" s="1" t="s">
        <v>18</v>
      </c>
      <c r="K6" s="23"/>
      <c r="L6" s="5" t="s">
        <v>1</v>
      </c>
      <c r="M6" s="5" t="s">
        <v>4</v>
      </c>
      <c r="N6" s="5" t="s">
        <v>5</v>
      </c>
      <c r="O6" s="5" t="s">
        <v>6</v>
      </c>
      <c r="P6" s="5" t="s">
        <v>7</v>
      </c>
      <c r="Q6" s="5" t="s">
        <v>8</v>
      </c>
      <c r="R6" s="1" t="s">
        <v>18</v>
      </c>
      <c r="S6" s="23"/>
      <c r="T6" s="5" t="s">
        <v>1</v>
      </c>
      <c r="U6" s="5" t="s">
        <v>4</v>
      </c>
      <c r="V6" s="5" t="s">
        <v>5</v>
      </c>
      <c r="W6" s="5" t="s">
        <v>6</v>
      </c>
      <c r="X6" s="5" t="s">
        <v>7</v>
      </c>
      <c r="Y6" s="5" t="s">
        <v>8</v>
      </c>
      <c r="Z6" s="1" t="s">
        <v>18</v>
      </c>
      <c r="AA6" s="23"/>
      <c r="AB6" s="5" t="s">
        <v>1</v>
      </c>
      <c r="AC6" s="5" t="s">
        <v>4</v>
      </c>
      <c r="AD6" s="5" t="s">
        <v>5</v>
      </c>
      <c r="AE6" s="5" t="s">
        <v>6</v>
      </c>
      <c r="AF6" s="5" t="s">
        <v>7</v>
      </c>
      <c r="AG6" s="5" t="s">
        <v>8</v>
      </c>
      <c r="AH6" s="1" t="s">
        <v>18</v>
      </c>
      <c r="AI6" s="24"/>
      <c r="AJ6" s="24"/>
    </row>
    <row r="7" spans="2:74" ht="12.95" customHeight="1" x14ac:dyDescent="0.25">
      <c r="D7" s="19" t="str">
        <f>IF(AND(YEAR(ЯнвВс1)=Год,MONTH(ЯнвВс1)=1),ЯнвВс1, "")</f>
        <v/>
      </c>
      <c r="E7" s="19" t="str">
        <f>IF(AND(YEAR(ЯнвВс1+1)=Год,MONTH(ЯнвВс1+1)=1),ЯнвВс1+1, "")</f>
        <v/>
      </c>
      <c r="F7" s="19" t="str">
        <f>IF(AND(YEAR(ЯнвВс1+2)=Год,MONTH(ЯнвВс1+2)=1),ЯнвВс1+2, "")</f>
        <v/>
      </c>
      <c r="G7" s="19" t="str">
        <f>IF(AND(YEAR(ЯнвВс1+3)=Год,MONTH(ЯнвВс1+3)=1),ЯнвВс1+3, "")</f>
        <v/>
      </c>
      <c r="H7" s="19">
        <f>IF(AND(YEAR(ЯнвВс1+4)=Год,MONTH(ЯнвВс1+4)=1),ЯнвВс1+4, "")</f>
        <v>44197</v>
      </c>
      <c r="I7" s="19">
        <f>IF(AND(YEAR(ЯнвВс1+5)=Год,MONTH(ЯнвВс1+5)=1),ЯнвВс1+5, "")</f>
        <v>44198</v>
      </c>
      <c r="J7" s="19">
        <f>IF(AND(YEAR(ЯнвВс1+6)=Год,MONTH(ЯнвВс1+6)=1),ЯнвВс1+6, "")</f>
        <v>44199</v>
      </c>
      <c r="K7" s="23"/>
      <c r="L7" s="19">
        <f>IF(AND(YEAR(ФевВс1)=Год,MONTH(ФевВс1)=2),ФевВс1, "")</f>
        <v>44228</v>
      </c>
      <c r="M7" s="19">
        <f>IF(AND(YEAR(ФевВс1+1)=Год,MONTH(ФевВс1+1)=2),ФевВс1+1, "")</f>
        <v>44229</v>
      </c>
      <c r="N7" s="19">
        <f>IF(AND(YEAR(ФевВс1+2)=Год,MONTH(ФевВс1+2)=2),ФевВс1+2, "")</f>
        <v>44230</v>
      </c>
      <c r="O7" s="19">
        <f>IF(AND(YEAR(ФевВс1+3)=Год,MONTH(ФевВс1+3)=2),ФевВс1+3, "")</f>
        <v>44231</v>
      </c>
      <c r="P7" s="19">
        <f>IF(AND(YEAR(ФевВс1+4)=Год,MONTH(ФевВс1+4)=2),ФевВс1+4, "")</f>
        <v>44232</v>
      </c>
      <c r="Q7" s="19">
        <f>IF(AND(YEAR(ФевВс1+5)=Год,MONTH(ФевВс1+5)=2),ФевВс1+5, "")</f>
        <v>44233</v>
      </c>
      <c r="R7" s="19">
        <f>IF(AND(YEAR(ФевВс1+6)=Год,MONTH(ФевВс1+6)=2),ФевВс1+6, "")</f>
        <v>44234</v>
      </c>
      <c r="S7" s="23"/>
      <c r="T7" s="19">
        <f>IF(AND(YEAR(МарВс1)=Год,MONTH(МарВс1)=3),МарВс1, "")</f>
        <v>44256</v>
      </c>
      <c r="U7" s="19">
        <f>IF(AND(YEAR(МарВс1+1)=Год,MONTH(МарВс1+1)=3),МарВс1+1, "")</f>
        <v>44257</v>
      </c>
      <c r="V7" s="19">
        <f>IF(AND(YEAR(МарВс1+2)=Год,MONTH(МарВс1+2)=3),МарВс1+2, "")</f>
        <v>44258</v>
      </c>
      <c r="W7" s="19">
        <f>IF(AND(YEAR(МарВс1+3)=Год,MONTH(МарВс1+3)=3),МарВс1+3, "")</f>
        <v>44259</v>
      </c>
      <c r="X7" s="19">
        <f>IF(AND(YEAR(МарВс1+4)=Год,MONTH(МарВс1+4)=3),МарВс1+4, "")</f>
        <v>44260</v>
      </c>
      <c r="Y7" s="19">
        <f>IF(AND(YEAR(МарВс1+5)=Год,MONTH(МарВс1+5)=3),МарВс1+5, "")</f>
        <v>44261</v>
      </c>
      <c r="Z7" s="19">
        <f>IF(AND(YEAR(МарВс1+6)=Год,MONTH(МарВс1+6)=3),МарВс1+6, "")</f>
        <v>44262</v>
      </c>
      <c r="AA7" s="23"/>
      <c r="AB7" s="19" t="str">
        <f>IF(AND(YEAR(АпрВс1)=Год,MONTH(АпрВс1)=4),АпрВс1, "")</f>
        <v/>
      </c>
      <c r="AC7" s="19" t="str">
        <f>IF(AND(YEAR(АпрВс1+1)=Год,MONTH(АпрВс1+1)=4),АпрВс1+1, "")</f>
        <v/>
      </c>
      <c r="AD7" s="19" t="str">
        <f>IF(AND(YEAR(АпрВс1+2)=Год,MONTH(АпрВс1+2)=4),АпрВс1+2, "")</f>
        <v/>
      </c>
      <c r="AE7" s="19">
        <f>IF(AND(YEAR(АпрВс1+3)=Год,MONTH(АпрВс1+3)=4),АпрВс1+3, "")</f>
        <v>44287</v>
      </c>
      <c r="AF7" s="19">
        <f>IF(AND(YEAR(АпрВс1+4)=Год,MONTH(АпрВс1+4)=4),АпрВс1+4, "")</f>
        <v>44288</v>
      </c>
      <c r="AG7" s="19">
        <f>IF(AND(YEAR(АпрВс1+5)=Год,MONTH(АпрВс1+5)=4),АпрВс1+5, "")</f>
        <v>44289</v>
      </c>
      <c r="AH7" s="19">
        <f>IF(AND(YEAR(АпрВс1+6)=Год,MONTH(АпрВс1+6)=4),АпрВс1+6, "")</f>
        <v>44290</v>
      </c>
      <c r="AI7" s="24"/>
      <c r="AJ7" s="24"/>
    </row>
    <row r="8" spans="2:74" ht="12.95" customHeight="1" x14ac:dyDescent="0.25">
      <c r="D8" s="19">
        <f>IF(AND(YEAR(ЯнвВс1+7)=Год,MONTH(ЯнвВс1+7)=1),ЯнвВс1+7, "")</f>
        <v>44200</v>
      </c>
      <c r="E8" s="19">
        <f>IF(AND(YEAR(ЯнвВс1+8)=Год,MONTH(ЯнвВс1+8)=1),ЯнвВс1+8, "")</f>
        <v>44201</v>
      </c>
      <c r="F8" s="19">
        <f>IF(AND(YEAR(ЯнвВс1+9)=Год,MONTH(ЯнвВс1+9)=1),ЯнвВс1+9, "")</f>
        <v>44202</v>
      </c>
      <c r="G8" s="19">
        <f>IF(AND(YEAR(ЯнвВс1+10)=Год,MONTH(ЯнвВс1+10)=1),ЯнвВс1+10, "")</f>
        <v>44203</v>
      </c>
      <c r="H8" s="19">
        <f>IF(AND(YEAR(ЯнвВс1+11)=Год,MONTH(ЯнвВс1+11)=1),ЯнвВс1+11, "")</f>
        <v>44204</v>
      </c>
      <c r="I8" s="19">
        <f>IF(AND(YEAR(ЯнвВс1+12)=Год,MONTH(ЯнвВс1+12)=1),ЯнвВс1+12, "")</f>
        <v>44205</v>
      </c>
      <c r="J8" s="19">
        <f>IF(AND(YEAR(ЯнвВс1+13)=Год,MONTH(ЯнвВс1+13)=1),ЯнвВс1+13, "")</f>
        <v>44206</v>
      </c>
      <c r="K8" s="23"/>
      <c r="L8" s="19">
        <f>IF(AND(YEAR(ФевВс1+7)=Год,MONTH(ФевВс1+7)=2),ФевВс1+7, "")</f>
        <v>44235</v>
      </c>
      <c r="M8" s="19">
        <f>IF(AND(YEAR(ФевВс1+8)=Год,MONTH(ФевВс1+8)=2),ФевВс1+8, "")</f>
        <v>44236</v>
      </c>
      <c r="N8" s="19">
        <f>IF(AND(YEAR(ФевВс1+9)=Год,MONTH(ФевВс1+9)=2),ФевВс1+9, "")</f>
        <v>44237</v>
      </c>
      <c r="O8" s="19">
        <f>IF(AND(YEAR(ФевВс1+10)=Год,MONTH(ФевВс1+10)=2),ФевВс1+10, "")</f>
        <v>44238</v>
      </c>
      <c r="P8" s="19">
        <f>IF(AND(YEAR(ФевВс1+11)=Год,MONTH(ФевВс1+11)=2),ФевВс1+11, "")</f>
        <v>44239</v>
      </c>
      <c r="Q8" s="19">
        <f>IF(AND(YEAR(ФевВс1+12)=Год,MONTH(ФевВс1+12)=2),ФевВс1+12, "")</f>
        <v>44240</v>
      </c>
      <c r="R8" s="19">
        <f>IF(AND(YEAR(ФевВс1+13)=Год,MONTH(ФевВс1+13)=2),ФевВс1+13, "")</f>
        <v>44241</v>
      </c>
      <c r="S8" s="23"/>
      <c r="T8" s="19">
        <f>IF(AND(YEAR(МарВс1+7)=Год,MONTH(МарВс1+7)=3),МарВс1+7, "")</f>
        <v>44263</v>
      </c>
      <c r="U8" s="19">
        <f>IF(AND(YEAR(МарВс1+8)=Год,MONTH(МарВс1+8)=3),МарВс1+8, "")</f>
        <v>44264</v>
      </c>
      <c r="V8" s="19">
        <f>IF(AND(YEAR(МарВс1+9)=Год,MONTH(МарВс1+9)=3),МарВс1+9, "")</f>
        <v>44265</v>
      </c>
      <c r="W8" s="19">
        <f>IF(AND(YEAR(МарВс1+10)=Год,MONTH(МарВс1+10)=3),МарВс1+10, "")</f>
        <v>44266</v>
      </c>
      <c r="X8" s="19">
        <f>IF(AND(YEAR(МарВс1+11)=Год,MONTH(МарВс1+11)=3),МарВс1+11, "")</f>
        <v>44267</v>
      </c>
      <c r="Y8" s="19">
        <f>IF(AND(YEAR(МарВс1+12)=Год,MONTH(МарВс1+12)=3),МарВс1+12, "")</f>
        <v>44268</v>
      </c>
      <c r="Z8" s="19">
        <f>IF(AND(YEAR(МарВс1+13)=Год,MONTH(МарВс1+13)=3),МарВс1+13, "")</f>
        <v>44269</v>
      </c>
      <c r="AA8" s="23"/>
      <c r="AB8" s="19">
        <f>IF(AND(YEAR(АпрВс1+7)=Год,MONTH(АпрВс1+7)=4),АпрВс1+7, "")</f>
        <v>44291</v>
      </c>
      <c r="AC8" s="19">
        <f>IF(AND(YEAR(АпрВс1+8)=Год,MONTH(АпрВс1+8)=4),АпрВс1+8, "")</f>
        <v>44292</v>
      </c>
      <c r="AD8" s="19">
        <f>IF(AND(YEAR(АпрВс1+9)=Год,MONTH(АпрВс1+9)=4),АпрВс1+9, "")</f>
        <v>44293</v>
      </c>
      <c r="AE8" s="19">
        <f>IF(AND(YEAR(АпрВс1+10)=Год,MONTH(АпрВс1+10)=4),АпрВс1+10, "")</f>
        <v>44294</v>
      </c>
      <c r="AF8" s="19">
        <f>IF(AND(YEAR(АпрВс1+11)=Год,MONTH(АпрВс1+11)=4),АпрВс1+11, "")</f>
        <v>44295</v>
      </c>
      <c r="AG8" s="19">
        <f>IF(AND(YEAR(АпрВс1+12)=Год,MONTH(АпрВс1+12)=4),АпрВс1+12, "")</f>
        <v>44296</v>
      </c>
      <c r="AH8" s="19">
        <f>IF(AND(YEAR(АпрВс1+13)=Год,MONTH(АпрВс1+13)=4),АпрВс1+13, "")</f>
        <v>44297</v>
      </c>
      <c r="AI8" s="24"/>
      <c r="AJ8" s="24"/>
    </row>
    <row r="9" spans="2:74" ht="12.95" customHeight="1" x14ac:dyDescent="0.25">
      <c r="D9" s="19">
        <f>IF(AND(YEAR(ЯнвВс1+14)=Год,MONTH(ЯнвВс1+14)=1),ЯнвВс1+14, "")</f>
        <v>44207</v>
      </c>
      <c r="E9" s="19">
        <f>IF(AND(YEAR(ЯнвВс1+15)=Год,MONTH(ЯнвВс1+15)=1),ЯнвВс1+15, "")</f>
        <v>44208</v>
      </c>
      <c r="F9" s="19">
        <f>IF(AND(YEAR(ЯнвВс1+16)=Год,MONTH(ЯнвВс1+16)=1),ЯнвВс1+16, "")</f>
        <v>44209</v>
      </c>
      <c r="G9" s="19">
        <f>IF(AND(YEAR(ЯнвВс1+17)=Год,MONTH(ЯнвВс1+17)=1),ЯнвВс1+17, "")</f>
        <v>44210</v>
      </c>
      <c r="H9" s="19">
        <f>IF(AND(YEAR(ЯнвВс1+18)=Год,MONTH(ЯнвВс1+18)=1),ЯнвВс1+18, "")</f>
        <v>44211</v>
      </c>
      <c r="I9" s="19">
        <f>IF(AND(YEAR(ЯнвВс1+19)=Год,MONTH(ЯнвВс1+19)=1),ЯнвВс1+19, "")</f>
        <v>44212</v>
      </c>
      <c r="J9" s="19">
        <f>IF(AND(YEAR(ЯнвВс1+20)=Год,MONTH(ЯнвВс1+20)=1),ЯнвВс1+20, "")</f>
        <v>44213</v>
      </c>
      <c r="K9" s="23"/>
      <c r="L9" s="19">
        <f>IF(AND(YEAR(ФевВс1+14)=Год,MONTH(ФевВс1+14)=2),ФевВс1+14, "")</f>
        <v>44242</v>
      </c>
      <c r="M9" s="19">
        <f>IF(AND(YEAR(ФевВс1+15)=Год,MONTH(ФевВс1+15)=2),ФевВс1+15, "")</f>
        <v>44243</v>
      </c>
      <c r="N9" s="19">
        <f>IF(AND(YEAR(ФевВс1+16)=Год,MONTH(ФевВс1+16)=2),ФевВс1+16, "")</f>
        <v>44244</v>
      </c>
      <c r="O9" s="19">
        <f>IF(AND(YEAR(ФевВс1+17)=Год,MONTH(ФевВс1+17)=2),ФевВс1+17, "")</f>
        <v>44245</v>
      </c>
      <c r="P9" s="19">
        <f>IF(AND(YEAR(ФевВс1+18)=Год,MONTH(ФевВс1+18)=2),ФевВс1+18, "")</f>
        <v>44246</v>
      </c>
      <c r="Q9" s="19">
        <f>IF(AND(YEAR(ФевВс1+19)=Год,MONTH(ФевВс1+19)=2),ФевВс1+19, "")</f>
        <v>44247</v>
      </c>
      <c r="R9" s="19">
        <f>IF(AND(YEAR(ФевВс1+20)=Год,MONTH(ФевВс1+20)=2),ФевВс1+20, "")</f>
        <v>44248</v>
      </c>
      <c r="S9" s="23"/>
      <c r="T9" s="19">
        <f>IF(AND(YEAR(МарВс1+14)=Год,MONTH(МарВс1+14)=3),МарВс1+14, "")</f>
        <v>44270</v>
      </c>
      <c r="U9" s="19">
        <f>IF(AND(YEAR(МарВс1+15)=Год,MONTH(МарВс1+15)=3),МарВс1+15, "")</f>
        <v>44271</v>
      </c>
      <c r="V9" s="19">
        <f>IF(AND(YEAR(МарВс1+16)=Год,MONTH(МарВс1+16)=3),МарВс1+16, "")</f>
        <v>44272</v>
      </c>
      <c r="W9" s="19">
        <f>IF(AND(YEAR(МарВс1+17)=Год,MONTH(МарВс1+17)=3),МарВс1+17, "")</f>
        <v>44273</v>
      </c>
      <c r="X9" s="19">
        <f>IF(AND(YEAR(МарВс1+18)=Год,MONTH(МарВс1+18)=3),МарВс1+18, "")</f>
        <v>44274</v>
      </c>
      <c r="Y9" s="19">
        <f>IF(AND(YEAR(МарВс1+19)=Год,MONTH(МарВс1+19)=3),МарВс1+19, "")</f>
        <v>44275</v>
      </c>
      <c r="Z9" s="19">
        <f>IF(AND(YEAR(МарВс1+20)=Год,MONTH(МарВс1+20)=3),МарВс1+20, "")</f>
        <v>44276</v>
      </c>
      <c r="AA9" s="23"/>
      <c r="AB9" s="19">
        <f>IF(AND(YEAR(АпрВс1+14)=Год,MONTH(АпрВс1+14)=4),АпрВс1+14, "")</f>
        <v>44298</v>
      </c>
      <c r="AC9" s="19">
        <f>IF(AND(YEAR(АпрВс1+15)=Год,MONTH(АпрВс1+15)=4),АпрВс1+15, "")</f>
        <v>44299</v>
      </c>
      <c r="AD9" s="19">
        <f>IF(AND(YEAR(АпрВс1+16)=Год,MONTH(АпрВс1+16)=4),АпрВс1+16, "")</f>
        <v>44300</v>
      </c>
      <c r="AE9" s="19">
        <f>IF(AND(YEAR(АпрВс1+17)=Год,MONTH(АпрВс1+17)=4),АпрВс1+17, "")</f>
        <v>44301</v>
      </c>
      <c r="AF9" s="19">
        <f>IF(AND(YEAR(АпрВс1+18)=Год,MONTH(АпрВс1+18)=4),АпрВс1+18, "")</f>
        <v>44302</v>
      </c>
      <c r="AG9" s="19">
        <f>IF(AND(YEAR(АпрВс1+19)=Год,MONTH(АпрВс1+19)=4),АпрВс1+19, "")</f>
        <v>44303</v>
      </c>
      <c r="AH9" s="19">
        <f>IF(AND(YEAR(АпрВс1+20)=Год,MONTH(АпрВс1+20)=4),АпрВс1+20, "")</f>
        <v>44304</v>
      </c>
      <c r="AI9" s="24"/>
      <c r="AJ9" s="24"/>
    </row>
    <row r="10" spans="2:74" ht="12.95" customHeight="1" x14ac:dyDescent="0.25">
      <c r="D10" s="19">
        <f>IF(AND(YEAR(ЯнвВс1+21)=Год,MONTH(ЯнвВс1+21)=1),ЯнвВс1+21, "")</f>
        <v>44214</v>
      </c>
      <c r="E10" s="19">
        <f>IF(AND(YEAR(ЯнвВс1+22)=Год,MONTH(ЯнвВс1+22)=1),ЯнвВс1+22, "")</f>
        <v>44215</v>
      </c>
      <c r="F10" s="19">
        <f>IF(AND(YEAR(ЯнвВс1+23)=Год,MONTH(ЯнвВс1+23)=1),ЯнвВс1+23, "")</f>
        <v>44216</v>
      </c>
      <c r="G10" s="19">
        <f>IF(AND(YEAR(ЯнвВс1+24)=Год,MONTH(ЯнвВс1+24)=1),ЯнвВс1+24, "")</f>
        <v>44217</v>
      </c>
      <c r="H10" s="19">
        <f>IF(AND(YEAR(ЯнвВс1+25)=Год,MONTH(ЯнвВс1+25)=1),ЯнвВс1+25, "")</f>
        <v>44218</v>
      </c>
      <c r="I10" s="19">
        <f>IF(AND(YEAR(ЯнвВс1+26)=Год,MONTH(ЯнвВс1+26)=1),ЯнвВс1+26, "")</f>
        <v>44219</v>
      </c>
      <c r="J10" s="19">
        <f>IF(AND(YEAR(ЯнвВс1+27)=Год,MONTH(ЯнвВс1+27)=1),ЯнвВс1+27, "")</f>
        <v>44220</v>
      </c>
      <c r="K10" s="23"/>
      <c r="L10" s="19">
        <f>IF(AND(YEAR(ФевВс1+21)=Год,MONTH(ФевВс1+21)=2),ФевВс1+21, "")</f>
        <v>44249</v>
      </c>
      <c r="M10" s="19">
        <f>IF(AND(YEAR(ФевВс1+22)=Год,MONTH(ФевВс1+22)=2),ФевВс1+22, "")</f>
        <v>44250</v>
      </c>
      <c r="N10" s="19">
        <f>IF(AND(YEAR(ФевВс1+23)=Год,MONTH(ФевВс1+23)=2),ФевВс1+23, "")</f>
        <v>44251</v>
      </c>
      <c r="O10" s="19">
        <f>IF(AND(YEAR(ФевВс1+24)=Год,MONTH(ФевВс1+24)=2),ФевВс1+24, "")</f>
        <v>44252</v>
      </c>
      <c r="P10" s="19">
        <f>IF(AND(YEAR(ФевВс1+25)=Год,MONTH(ФевВс1+25)=2),ФевВс1+25, "")</f>
        <v>44253</v>
      </c>
      <c r="Q10" s="19">
        <f>IF(AND(YEAR(ФевВс1+26)=Год,MONTH(ФевВс1+26)=2),ФевВс1+26, "")</f>
        <v>44254</v>
      </c>
      <c r="R10" s="19">
        <f>IF(AND(YEAR(ФевВс1+27)=Год,MONTH(ФевВс1+27)=2),ФевВс1+27, "")</f>
        <v>44255</v>
      </c>
      <c r="S10" s="23"/>
      <c r="T10" s="19">
        <f>IF(AND(YEAR(МарВс1+21)=Год,MONTH(МарВс1+21)=3),МарВс1+21, "")</f>
        <v>44277</v>
      </c>
      <c r="U10" s="19">
        <f>IF(AND(YEAR(МарВс1+22)=Год,MONTH(МарВс1+22)=3),МарВс1+22, "")</f>
        <v>44278</v>
      </c>
      <c r="V10" s="19">
        <f>IF(AND(YEAR(МарВс1+23)=Год,MONTH(МарВс1+23)=3),МарВс1+23, "")</f>
        <v>44279</v>
      </c>
      <c r="W10" s="19">
        <f>IF(AND(YEAR(МарВс1+24)=Год,MONTH(МарВс1+24)=3),МарВс1+24, "")</f>
        <v>44280</v>
      </c>
      <c r="X10" s="19">
        <f>IF(AND(YEAR(МарВс1+25)=Год,MONTH(МарВс1+25)=3),МарВс1+25, "")</f>
        <v>44281</v>
      </c>
      <c r="Y10" s="19">
        <f>IF(AND(YEAR(МарВс1+26)=Год,MONTH(МарВс1+26)=3),МарВс1+26, "")</f>
        <v>44282</v>
      </c>
      <c r="Z10" s="19">
        <f>IF(AND(YEAR(МарВс1+27)=Год,MONTH(МарВс1+27)=3),МарВс1+27, "")</f>
        <v>44283</v>
      </c>
      <c r="AA10" s="23"/>
      <c r="AB10" s="19">
        <f>IF(AND(YEAR(АпрВс1+21)=Год,MONTH(АпрВс1+21)=4),АпрВс1+21, "")</f>
        <v>44305</v>
      </c>
      <c r="AC10" s="19">
        <f>IF(AND(YEAR(АпрВс1+22)=Год,MONTH(АпрВс1+22)=4),АпрВс1+22, "")</f>
        <v>44306</v>
      </c>
      <c r="AD10" s="19">
        <f>IF(AND(YEAR(АпрВс1+23)=Год,MONTH(АпрВс1+23)=4),АпрВс1+23, "")</f>
        <v>44307</v>
      </c>
      <c r="AE10" s="19">
        <f>IF(AND(YEAR(АпрВс1+24)=Год,MONTH(АпрВс1+24)=4),АпрВс1+24, "")</f>
        <v>44308</v>
      </c>
      <c r="AF10" s="19">
        <f>IF(AND(YEAR(АпрВс1+25)=Год,MONTH(АпрВс1+25)=4),АпрВс1+25, "")</f>
        <v>44309</v>
      </c>
      <c r="AG10" s="19">
        <f>IF(AND(YEAR(АпрВс1+26)=Год,MONTH(АпрВс1+26)=4),АпрВс1+26, "")</f>
        <v>44310</v>
      </c>
      <c r="AH10" s="19">
        <f>IF(AND(YEAR(АпрВс1+27)=Год,MONTH(АпрВс1+27)=4),АпрВс1+27, "")</f>
        <v>44311</v>
      </c>
      <c r="AI10" s="24"/>
      <c r="AJ10" s="24"/>
    </row>
    <row r="11" spans="2:74" ht="12.95" customHeight="1" x14ac:dyDescent="0.25">
      <c r="D11" s="19">
        <f>IF(AND(YEAR(ЯнвВс1+28)=Год,MONTH(ЯнвВс1+28)=1),ЯнвВс1+28, "")</f>
        <v>44221</v>
      </c>
      <c r="E11" s="19">
        <f>IF(AND(YEAR(ЯнвВс1+29)=Год,MONTH(ЯнвВс1+29)=1),ЯнвВс1+29, "")</f>
        <v>44222</v>
      </c>
      <c r="F11" s="19">
        <f>IF(AND(YEAR(ЯнвВс1+30)=Год,MONTH(ЯнвВс1+30)=1),ЯнвВс1+30, "")</f>
        <v>44223</v>
      </c>
      <c r="G11" s="19">
        <f>IF(AND(YEAR(ЯнвВс1+31)=Год,MONTH(ЯнвВс1+31)=1),ЯнвВс1+31, "")</f>
        <v>44224</v>
      </c>
      <c r="H11" s="19">
        <f>IF(AND(YEAR(ЯнвВс1+32)=Год,MONTH(ЯнвВс1+32)=1),ЯнвВс1+32, "")</f>
        <v>44225</v>
      </c>
      <c r="I11" s="19">
        <f>IF(AND(YEAR(ЯнвВс1+33)=Год,MONTH(ЯнвВс1+33)=1),ЯнвВс1+33, "")</f>
        <v>44226</v>
      </c>
      <c r="J11" s="19">
        <f>IF(AND(YEAR(ЯнвВс1+34)=Год,MONTH(ЯнвВс1+34)=1),ЯнвВс1+34, "")</f>
        <v>44227</v>
      </c>
      <c r="K11" s="23"/>
      <c r="L11" s="19" t="str">
        <f>IF(AND(YEAR(ФевВс1+28)=Год,MONTH(ФевВс1+28)=2),ФевВс1+28, "")</f>
        <v/>
      </c>
      <c r="M11" s="19" t="str">
        <f>IF(AND(YEAR(ФевВс1+29)=Год,MONTH(ФевВс1+29)=2),ФевВс1+29, "")</f>
        <v/>
      </c>
      <c r="N11" s="19" t="str">
        <f>IF(AND(YEAR(ФевВс1+30)=Год,MONTH(ФевВс1+30)=2),ФевВс1+30, "")</f>
        <v/>
      </c>
      <c r="O11" s="19" t="str">
        <f>IF(AND(YEAR(ФевВс1+31)=Год,MONTH(ФевВс1+31)=2),ФевВс1+31, "")</f>
        <v/>
      </c>
      <c r="P11" s="19" t="str">
        <f>IF(AND(YEAR(ФевВс1+32)=Год,MONTH(ФевВс1+32)=2),ФевВс1+32, "")</f>
        <v/>
      </c>
      <c r="Q11" s="19" t="str">
        <f>IF(AND(YEAR(ФевВс1+33)=Год,MONTH(ФевВс1+33)=2),ФевВс1+33, "")</f>
        <v/>
      </c>
      <c r="R11" s="19" t="str">
        <f>IF(AND(YEAR(ФевВс1+34)=Год,MONTH(ФевВс1+34)=2),ФевВс1+34, "")</f>
        <v/>
      </c>
      <c r="S11" s="23"/>
      <c r="T11" s="19">
        <f>IF(AND(YEAR(МарВс1+28)=Год,MONTH(МарВс1+28)=3),МарВс1+28, "")</f>
        <v>44284</v>
      </c>
      <c r="U11" s="19">
        <f>IF(AND(YEAR(МарВс1+29)=Год,MONTH(МарВс1+29)=3),МарВс1+29, "")</f>
        <v>44285</v>
      </c>
      <c r="V11" s="19">
        <f>IF(AND(YEAR(МарВс1+30)=Год,MONTH(МарВс1+30)=3),МарВс1+30, "")</f>
        <v>44286</v>
      </c>
      <c r="W11" s="19" t="str">
        <f>IF(AND(YEAR(МарВс1+31)=Год,MONTH(МарВс1+31)=3),МарВс1+31, "")</f>
        <v/>
      </c>
      <c r="X11" s="19" t="str">
        <f>IF(AND(YEAR(МарВс1+32)=Год,MONTH(МарВс1+32)=3),МарВс1+32, "")</f>
        <v/>
      </c>
      <c r="Y11" s="19" t="str">
        <f>IF(AND(YEAR(МарВс1+33)=Год,MONTH(МарВс1+33)=3),МарВс1+33, "")</f>
        <v/>
      </c>
      <c r="Z11" s="19" t="str">
        <f>IF(AND(YEAR(МарВс1+34)=Год,MONTH(МарВс1+34)=3),МарВс1+34, "")</f>
        <v/>
      </c>
      <c r="AA11" s="23"/>
      <c r="AB11" s="19">
        <f>IF(AND(YEAR(АпрВс1+28)=Год,MONTH(АпрВс1+28)=4),АпрВс1+28, "")</f>
        <v>44312</v>
      </c>
      <c r="AC11" s="19">
        <f>IF(AND(YEAR(АпрВс1+29)=Год,MONTH(АпрВс1+29)=4),АпрВс1+29, "")</f>
        <v>44313</v>
      </c>
      <c r="AD11" s="19">
        <f>IF(AND(YEAR(АпрВс1+30)=Год,MONTH(АпрВс1+30)=4),АпрВс1+30, "")</f>
        <v>44314</v>
      </c>
      <c r="AE11" s="19">
        <f>IF(AND(YEAR(АпрВс1+31)=Год,MONTH(АпрВс1+31)=4),АпрВс1+31, "")</f>
        <v>44315</v>
      </c>
      <c r="AF11" s="19">
        <f>IF(AND(YEAR(АпрВс1+32)=Год,MONTH(АпрВс1+32)=4),АпрВс1+32, "")</f>
        <v>44316</v>
      </c>
      <c r="AG11" s="19" t="str">
        <f>IF(AND(YEAR(АпрВс1+33)=Год,MONTH(АпрВс1+33)=4),АпрВс1+33, "")</f>
        <v/>
      </c>
      <c r="AH11" s="19" t="str">
        <f>IF(AND(YEAR(АпрВс1+34)=Год,MONTH(АпрВс1+34)=4),АпрВс1+34, "")</f>
        <v/>
      </c>
      <c r="AI11" s="24"/>
      <c r="AJ11" s="24"/>
      <c r="AM11" s="13"/>
    </row>
    <row r="12" spans="2:74" ht="12.95" customHeight="1" x14ac:dyDescent="0.25">
      <c r="D12" s="19" t="str">
        <f>IF(AND(YEAR(ЯнвВс1+35)=Год,MONTH(ЯнвВс1+35)=1),ЯнвВс1+35, "")</f>
        <v/>
      </c>
      <c r="E12" s="19" t="str">
        <f>IF(AND(YEAR(ЯнвВс1+36)=Год,MONTH(ЯнвВс1+36)=1),ЯнвВс1+36, "")</f>
        <v/>
      </c>
      <c r="F12" s="19" t="str">
        <f>IF(AND(YEAR(ЯнвВс1+37)=Год,MONTH(ЯнвВс1+37)=1),ЯнвВс1+37, "")</f>
        <v/>
      </c>
      <c r="G12" s="19" t="str">
        <f>IF(AND(YEAR(ЯнвВс1+38)=Год,MONTH(ЯнвВс1+38)=1),ЯнвВс1+38, "")</f>
        <v/>
      </c>
      <c r="H12" s="19" t="str">
        <f>IF(AND(YEAR(ЯнвВс1+39)=Год,MONTH(ЯнвВс1+39)=1),ЯнвВс1+39, "")</f>
        <v/>
      </c>
      <c r="I12" s="19" t="str">
        <f>IF(AND(YEAR(ЯнвВс1+40)=Год,MONTH(ЯнвВс1+40)=1),ЯнвВс1+40, "")</f>
        <v/>
      </c>
      <c r="J12" s="19" t="str">
        <f>IF(AND(YEAR(ЯнвВс1+41)=Год,MONTH(ЯнвВс1+41)=1),ЯнвВс1+41, "")</f>
        <v/>
      </c>
      <c r="K12" s="23"/>
      <c r="L12" s="19" t="str">
        <f>IF(AND(YEAR(ФевВс1+35)=Год,MONTH(ФевВс1+35)=2),ФевВс1+35, "")</f>
        <v/>
      </c>
      <c r="M12" s="19" t="str">
        <f>IF(AND(YEAR(ФевВс1+36)=Год,MONTH(ФевВс1+36)=2),ФевВс1+36, "")</f>
        <v/>
      </c>
      <c r="N12" s="19" t="str">
        <f>IF(AND(YEAR(ФевВс1+37)=Год,MONTH(ФевВс1+37)=2),ФевВс1+37, "")</f>
        <v/>
      </c>
      <c r="O12" s="19" t="str">
        <f>IF(AND(YEAR(ФевВс1+38)=Год,MONTH(ФевВс1+38)=2),ФевВс1+38, "")</f>
        <v/>
      </c>
      <c r="P12" s="19" t="str">
        <f>IF(AND(YEAR(ФевВс1+39)=Год,MONTH(ФевВс1+39)=2),ФевВс1+39, "")</f>
        <v/>
      </c>
      <c r="Q12" s="19" t="str">
        <f>IF(AND(YEAR(ФевВс1+40)=Год,MONTH(ФевВс1+40)=2),ФевВс1+40, "")</f>
        <v/>
      </c>
      <c r="R12" s="19" t="str">
        <f>IF(AND(YEAR(ФевВс1+41)=Год,MONTH(ФевВс1+41)=2),ФевВс1+41, "")</f>
        <v/>
      </c>
      <c r="S12" s="23"/>
      <c r="T12" s="19" t="str">
        <f>IF(AND(YEAR(МарВс1+35)=Год,MONTH(МарВс1+35)=3),МарВс1+35, "")</f>
        <v/>
      </c>
      <c r="U12" s="19" t="str">
        <f>IF(AND(YEAR(МарВс1+36)=Год,MONTH(МарВс1+36)=3),МарВс1+36, "")</f>
        <v/>
      </c>
      <c r="V12" s="19" t="str">
        <f>IF(AND(YEAR(МарВс1+37)=Год,MONTH(МарВс1+37)=3),МарВс1+37, "")</f>
        <v/>
      </c>
      <c r="W12" s="19" t="str">
        <f>IF(AND(YEAR(МарВс1+38)=Год,MONTH(МарВс1+38)=3),МарВс1+38, "")</f>
        <v/>
      </c>
      <c r="X12" s="19" t="str">
        <f>IF(AND(YEAR(МарВс1+39)=Год,MONTH(МарВс1+39)=3),МарВс1+39, "")</f>
        <v/>
      </c>
      <c r="Y12" s="19" t="str">
        <f>IF(AND(YEAR(МарВс1+40)=Год,MONTH(МарВс1+40)=3),МарВс1+40, "")</f>
        <v/>
      </c>
      <c r="Z12" s="19" t="str">
        <f>IF(AND(YEAR(МарВс1+41)=Год,MONTH(МарВс1+41)=3),МарВс1+41, "")</f>
        <v/>
      </c>
      <c r="AA12" s="23"/>
      <c r="AB12" s="19" t="str">
        <f>IF(AND(YEAR(АпрВс1+35)=Год,MONTH(АпрВс1+35)=4),АпрВс1+35, "")</f>
        <v/>
      </c>
      <c r="AC12" s="19" t="str">
        <f>IF(AND(YEAR(АпрВс1+36)=Год,MONTH(АпрВс1+36)=4),АпрВс1+36, "")</f>
        <v/>
      </c>
      <c r="AD12" s="19" t="str">
        <f>IF(AND(YEAR(АпрВс1+37)=Год,MONTH(АпрВс1+37)=4),АпрВс1+37, "")</f>
        <v/>
      </c>
      <c r="AE12" s="19" t="str">
        <f>IF(AND(YEAR(АпрВс1+38)=Год,MONTH(АпрВс1+38)=4),АпрВс1+38, "")</f>
        <v/>
      </c>
      <c r="AF12" s="19" t="str">
        <f>IF(AND(YEAR(АпрВс1+39)=Год,MONTH(АпрВс1+39)=4),АпрВс1+39, "")</f>
        <v/>
      </c>
      <c r="AG12" s="19" t="str">
        <f>IF(AND(YEAR(АпрВс1+40)=Год,MONTH(АпрВс1+40)=4),АпрВс1+40, "")</f>
        <v/>
      </c>
      <c r="AH12" s="19" t="str">
        <f>IF(AND(YEAR(АпрВс1+41)=Год,MONTH(АпрВс1+41)=4),АпрВс1+41, "")</f>
        <v/>
      </c>
      <c r="AI12" s="24"/>
      <c r="AJ12" s="24"/>
    </row>
    <row r="13" spans="2:74" ht="9.9499999999999993" customHeight="1" x14ac:dyDescent="0.25">
      <c r="C13" s="6"/>
      <c r="D13" s="7"/>
      <c r="E13" s="7"/>
      <c r="F13" s="7"/>
      <c r="G13" s="7"/>
      <c r="H13" s="7"/>
      <c r="I13" s="7"/>
      <c r="J13" s="7"/>
      <c r="K13" s="23"/>
      <c r="L13" s="7"/>
      <c r="M13" s="7"/>
      <c r="N13" s="7"/>
      <c r="O13" s="7"/>
      <c r="P13" s="7"/>
      <c r="Q13" s="7"/>
      <c r="R13" s="7"/>
      <c r="S13" s="23"/>
      <c r="T13" s="20"/>
      <c r="U13" s="20"/>
      <c r="V13" s="20"/>
      <c r="W13" s="20"/>
      <c r="X13" s="20"/>
      <c r="Y13" s="20"/>
      <c r="Z13" s="20"/>
      <c r="AA13" s="23"/>
      <c r="AB13" s="7"/>
      <c r="AC13" s="7"/>
      <c r="AD13" s="7"/>
      <c r="AE13" s="7"/>
      <c r="AF13" s="7"/>
      <c r="AG13" s="7"/>
      <c r="AH13" s="7"/>
      <c r="AI13" s="23"/>
      <c r="AJ13" s="24"/>
    </row>
    <row r="14" spans="2:74" s="3" customFormat="1" ht="24" customHeight="1" x14ac:dyDescent="0.35">
      <c r="D14" s="30" t="s">
        <v>2</v>
      </c>
      <c r="E14" s="30"/>
      <c r="F14" s="30"/>
      <c r="G14" s="30"/>
      <c r="H14" s="30"/>
      <c r="I14" s="30"/>
      <c r="J14" s="30"/>
      <c r="K14" s="22"/>
      <c r="L14" s="30" t="s">
        <v>10</v>
      </c>
      <c r="M14" s="30"/>
      <c r="N14" s="30"/>
      <c r="O14" s="30"/>
      <c r="P14" s="30"/>
      <c r="Q14" s="30"/>
      <c r="R14" s="30"/>
      <c r="S14" s="22"/>
      <c r="T14" s="30" t="s">
        <v>13</v>
      </c>
      <c r="U14" s="30"/>
      <c r="V14" s="30"/>
      <c r="W14" s="30"/>
      <c r="X14" s="30"/>
      <c r="Y14" s="30"/>
      <c r="Z14" s="30"/>
      <c r="AA14" s="22"/>
      <c r="AB14" s="30" t="s">
        <v>16</v>
      </c>
      <c r="AC14" s="30"/>
      <c r="AD14" s="30"/>
      <c r="AE14" s="30"/>
      <c r="AF14" s="30"/>
      <c r="AG14" s="30"/>
      <c r="AH14" s="30"/>
      <c r="AI14" s="25"/>
      <c r="AJ14" s="25"/>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row>
    <row r="15" spans="2:74" ht="12.95" customHeight="1" x14ac:dyDescent="0.25">
      <c r="C15" s="4"/>
      <c r="D15" s="5" t="s">
        <v>1</v>
      </c>
      <c r="E15" s="5" t="s">
        <v>4</v>
      </c>
      <c r="F15" s="5" t="s">
        <v>5</v>
      </c>
      <c r="G15" s="5" t="s">
        <v>6</v>
      </c>
      <c r="H15" s="5" t="s">
        <v>7</v>
      </c>
      <c r="I15" s="5" t="s">
        <v>8</v>
      </c>
      <c r="J15" s="1" t="s">
        <v>18</v>
      </c>
      <c r="K15" s="23"/>
      <c r="L15" s="5" t="s">
        <v>1</v>
      </c>
      <c r="M15" s="5" t="s">
        <v>4</v>
      </c>
      <c r="N15" s="5" t="s">
        <v>5</v>
      </c>
      <c r="O15" s="5" t="s">
        <v>6</v>
      </c>
      <c r="P15" s="5" t="s">
        <v>7</v>
      </c>
      <c r="Q15" s="5" t="s">
        <v>8</v>
      </c>
      <c r="R15" s="1" t="s">
        <v>18</v>
      </c>
      <c r="S15" s="23"/>
      <c r="T15" s="5" t="s">
        <v>1</v>
      </c>
      <c r="U15" s="5" t="s">
        <v>4</v>
      </c>
      <c r="V15" s="5" t="s">
        <v>5</v>
      </c>
      <c r="W15" s="5" t="s">
        <v>6</v>
      </c>
      <c r="X15" s="5" t="s">
        <v>7</v>
      </c>
      <c r="Y15" s="5" t="s">
        <v>8</v>
      </c>
      <c r="Z15" s="1" t="s">
        <v>18</v>
      </c>
      <c r="AA15" s="23"/>
      <c r="AB15" s="5" t="s">
        <v>1</v>
      </c>
      <c r="AC15" s="5" t="s">
        <v>4</v>
      </c>
      <c r="AD15" s="5" t="s">
        <v>5</v>
      </c>
      <c r="AE15" s="5" t="s">
        <v>6</v>
      </c>
      <c r="AF15" s="5" t="s">
        <v>7</v>
      </c>
      <c r="AG15" s="5" t="s">
        <v>8</v>
      </c>
      <c r="AH15" s="1" t="s">
        <v>18</v>
      </c>
      <c r="AI15" s="24"/>
      <c r="AJ15" s="24"/>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row>
    <row r="16" spans="2:74" ht="12.95" customHeight="1" x14ac:dyDescent="0.25">
      <c r="D16" s="19" t="str">
        <f>IF(AND(YEAR(МайВс1)=Год,MONTH(МайВс1)=5),МайВс1, "")</f>
        <v/>
      </c>
      <c r="E16" s="19" t="str">
        <f>IF(AND(YEAR(МайВс1+1)=Год,MONTH(МайВс1+1)=5),МайВс1+1, "")</f>
        <v/>
      </c>
      <c r="F16" s="19" t="str">
        <f>IF(AND(YEAR(МайВс1+2)=Год,MONTH(МайВс1+2)=5),МайВс1+2, "")</f>
        <v/>
      </c>
      <c r="G16" s="19" t="str">
        <f>IF(AND(YEAR(МайВс1+3)=Год,MONTH(МайВс1+3)=5),МайВс1+3, "")</f>
        <v/>
      </c>
      <c r="H16" s="19" t="str">
        <f>IF(AND(YEAR(МайВс1+4)=Год,MONTH(МайВс1+4)=5),МайВс1+4, "")</f>
        <v/>
      </c>
      <c r="I16" s="19">
        <f>IF(AND(YEAR(МайВс1+5)=Год,MONTH(МайВс1+5)=5),МайВс1+5, "")</f>
        <v>44317</v>
      </c>
      <c r="J16" s="19">
        <f>IF(AND(YEAR(МайВс1+6)=Год,MONTH(МайВс1+6)=5),МайВс1+6, "")</f>
        <v>44318</v>
      </c>
      <c r="K16" s="23"/>
      <c r="L16" s="19" t="str">
        <f>IF(AND(YEAR(ИюнВс1)=Год,MONTH(ИюнВс1)=6),ИюнВс1, "")</f>
        <v/>
      </c>
      <c r="M16" s="19">
        <f>IF(AND(YEAR(ИюнВс1+1)=Год,MONTH(ИюнВс1+1)=6),ИюнВс1+1, "")</f>
        <v>44348</v>
      </c>
      <c r="N16" s="19">
        <f>IF(AND(YEAR(ИюнВс1+2)=Год,MONTH(ИюнВс1+2)=6),ИюнВс1+2, "")</f>
        <v>44349</v>
      </c>
      <c r="O16" s="19">
        <f>IF(AND(YEAR(ИюнВс1+3)=Год,MONTH(ИюнВс1+3)=6),ИюнВс1+3, "")</f>
        <v>44350</v>
      </c>
      <c r="P16" s="19">
        <f>IF(AND(YEAR(ИюнВс1+4)=Год,MONTH(ИюнВс1+4)=6),ИюнВс1+4, "")</f>
        <v>44351</v>
      </c>
      <c r="Q16" s="19">
        <f>IF(AND(YEAR(ИюнВс1+5)=Год,MONTH(ИюнВс1+5)=6),ИюнВс1+5, "")</f>
        <v>44352</v>
      </c>
      <c r="R16" s="19">
        <f>IF(AND(YEAR(ИюнВс1+6)=Год,MONTH(ИюнВс1+6)=6),ИюнВс1+6, "")</f>
        <v>44353</v>
      </c>
      <c r="S16" s="23"/>
      <c r="T16" s="21" t="str">
        <f>IF(AND(YEAR(ИюлВс1)=Год,MONTH(ИюлВс1)=7),ИюлВс1, "")</f>
        <v/>
      </c>
      <c r="U16" s="21" t="str">
        <f>IF(AND(YEAR(ИюлВс1+1)=Год,MONTH(ИюлВс1+1)=7),ИюлВс1+1, "")</f>
        <v/>
      </c>
      <c r="V16" s="21" t="str">
        <f>IF(AND(YEAR(ИюлВс1+2)=Год,MONTH(ИюлВс1+2)=7),ИюлВс1+2, "")</f>
        <v/>
      </c>
      <c r="W16" s="21">
        <f>IF(AND(YEAR(ИюлВс1+3)=Год,MONTH(ИюлВс1+3)=7),ИюлВс1+3, "")</f>
        <v>44378</v>
      </c>
      <c r="X16" s="21">
        <f>IF(AND(YEAR(ИюлВс1+4)=Год,MONTH(ИюлВс1+4)=7),ИюлВс1+4, "")</f>
        <v>44379</v>
      </c>
      <c r="Y16" s="21">
        <f>IF(AND(YEAR(ИюлВс1+5)=Год,MONTH(ИюлВс1+5)=7),ИюлВс1+5, "")</f>
        <v>44380</v>
      </c>
      <c r="Z16" s="21">
        <f>IF(AND(YEAR(ИюлВс1+6)=Год,MONTH(ИюлВс1+6)=7),ИюлВс1+6, "")</f>
        <v>44381</v>
      </c>
      <c r="AA16" s="23"/>
      <c r="AB16" s="21" t="str">
        <f>IF(AND(YEAR(АвгВс1)=Год,MONTH(АвгВс1)=8),АвгВс1, "")</f>
        <v/>
      </c>
      <c r="AC16" s="21" t="str">
        <f>IF(AND(YEAR(АвгВс1+1)=Год,MONTH(АвгВс1+1)=8),АвгВс1+1, "")</f>
        <v/>
      </c>
      <c r="AD16" s="21" t="str">
        <f>IF(AND(YEAR(АвгВс1+2)=Год,MONTH(АвгВс1+2)=8),АвгВс1+2, "")</f>
        <v/>
      </c>
      <c r="AE16" s="21" t="str">
        <f>IF(AND(YEAR(АвгВс1+3)=Год,MONTH(АвгВс1+3)=8),АвгВс1+3, "")</f>
        <v/>
      </c>
      <c r="AF16" s="21" t="str">
        <f>IF(AND(YEAR(АвгВс1+4)=Год,MONTH(АвгВс1+4)=8),АвгВс1+4, "")</f>
        <v/>
      </c>
      <c r="AG16" s="21" t="str">
        <f>IF(AND(YEAR(АвгВс1+5)=Год,MONTH(АвгВс1+5)=8),АвгВс1+5, "")</f>
        <v/>
      </c>
      <c r="AH16" s="21">
        <f>IF(AND(YEAR(АвгВс1+6)=Год,MONTH(АвгВс1+6)=8),АвгВс1+6, "")</f>
        <v>44409</v>
      </c>
      <c r="AI16" s="24"/>
      <c r="AJ16" s="24"/>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row>
    <row r="17" spans="2:80" ht="12.95" customHeight="1" x14ac:dyDescent="0.25">
      <c r="D17" s="19">
        <f>IF(AND(YEAR(МайВс1+7)=Год,MONTH(МайВс1+7)=5),МайВс1+7, "")</f>
        <v>44319</v>
      </c>
      <c r="E17" s="19">
        <f>IF(AND(YEAR(МайВс1+8)=Год,MONTH(МайВс1+8)=5),МайВс1+8, "")</f>
        <v>44320</v>
      </c>
      <c r="F17" s="19">
        <f>IF(AND(YEAR(МайВс1+9)=Год,MONTH(МайВс1+9)=5),МайВс1+9, "")</f>
        <v>44321</v>
      </c>
      <c r="G17" s="19">
        <f>IF(AND(YEAR(МайВс1+10)=Год,MONTH(МайВс1+10)=5),МайВс1+10, "")</f>
        <v>44322</v>
      </c>
      <c r="H17" s="19">
        <f>IF(AND(YEAR(МайВс1+11)=Год,MONTH(МайВс1+11)=5),МайВс1+11, "")</f>
        <v>44323</v>
      </c>
      <c r="I17" s="19">
        <f>IF(AND(YEAR(МайВс1+12)=Год,MONTH(МайВс1+12)=5),МайВс1+12, "")</f>
        <v>44324</v>
      </c>
      <c r="J17" s="19">
        <f>IF(AND(YEAR(МайВс1+13)=Год,MONTH(МайВс1+13)=5),МайВс1+13, "")</f>
        <v>44325</v>
      </c>
      <c r="K17" s="23"/>
      <c r="L17" s="19">
        <f>IF(AND(YEAR(ИюнВс1+7)=Год,MONTH(ИюнВс1+7)=6),ИюнВс1+7, "")</f>
        <v>44354</v>
      </c>
      <c r="M17" s="19">
        <f>IF(AND(YEAR(ИюнВс1+8)=Год,MONTH(ИюнВс1+8)=6),ИюнВс1+8, "")</f>
        <v>44355</v>
      </c>
      <c r="N17" s="19">
        <f>IF(AND(YEAR(ИюнВс1+9)=Год,MONTH(ИюнВс1+9)=6),ИюнВс1+9, "")</f>
        <v>44356</v>
      </c>
      <c r="O17" s="19">
        <f>IF(AND(YEAR(ИюнВс1+10)=Год,MONTH(ИюнВс1+10)=6),ИюнВс1+10, "")</f>
        <v>44357</v>
      </c>
      <c r="P17" s="19">
        <f>IF(AND(YEAR(ИюнВс1+11)=Год,MONTH(ИюнВс1+11)=6),ИюнВс1+11, "")</f>
        <v>44358</v>
      </c>
      <c r="Q17" s="19">
        <f>IF(AND(YEAR(ИюнВс1+12)=Год,MONTH(ИюнВс1+12)=6),ИюнВс1+12, "")</f>
        <v>44359</v>
      </c>
      <c r="R17" s="19">
        <f>IF(AND(YEAR(ИюнВс1+13)=Год,MONTH(ИюнВс1+13)=6),ИюнВс1+13, "")</f>
        <v>44360</v>
      </c>
      <c r="S17" s="23"/>
      <c r="T17" s="21">
        <f>IF(AND(YEAR(ИюлВс1+7)=Год,MONTH(ИюлВс1+7)=7),ИюлВс1+7, "")</f>
        <v>44382</v>
      </c>
      <c r="U17" s="21">
        <f>IF(AND(YEAR(ИюлВс1+8)=Год,MONTH(ИюлВс1+8)=7),ИюлВс1+8, "")</f>
        <v>44383</v>
      </c>
      <c r="V17" s="21">
        <f>IF(AND(YEAR(ИюлВс1+9)=Год,MONTH(ИюлВс1+9)=7),ИюлВс1+9, "")</f>
        <v>44384</v>
      </c>
      <c r="W17" s="21">
        <f>IF(AND(YEAR(ИюлВс1+10)=Год,MONTH(ИюлВс1+10)=7),ИюлВс1+10, "")</f>
        <v>44385</v>
      </c>
      <c r="X17" s="21">
        <f>IF(AND(YEAR(ИюлВс1+11)=Год,MONTH(ИюлВс1+11)=7),ИюлВс1+11, "")</f>
        <v>44386</v>
      </c>
      <c r="Y17" s="21">
        <f>IF(AND(YEAR(ИюлВс1+12)=Год,MONTH(ИюлВс1+12)=7),ИюлВс1+12, "")</f>
        <v>44387</v>
      </c>
      <c r="Z17" s="21">
        <f>IF(AND(YEAR(ИюлВс1+13)=Год,MONTH(ИюлВс1+13)=7),ИюлВс1+13, "")</f>
        <v>44388</v>
      </c>
      <c r="AA17" s="23"/>
      <c r="AB17" s="21">
        <f>IF(AND(YEAR(АвгВс1+7)=Год,MONTH(АвгВс1+7)=8),АвгВс1+7, "")</f>
        <v>44410</v>
      </c>
      <c r="AC17" s="21">
        <f>IF(AND(YEAR(АвгВс1+8)=Год,MONTH(АвгВс1+8)=8),АвгВс1+8, "")</f>
        <v>44411</v>
      </c>
      <c r="AD17" s="21">
        <f>IF(AND(YEAR(АвгВс1+9)=Год,MONTH(АвгВс1+9)=8),АвгВс1+9, "")</f>
        <v>44412</v>
      </c>
      <c r="AE17" s="21">
        <f>IF(AND(YEAR(АвгВс1+10)=Год,MONTH(АвгВс1+10)=8),АвгВс1+10, "")</f>
        <v>44413</v>
      </c>
      <c r="AF17" s="21">
        <f>IF(AND(YEAR(АвгВс1+11)=Год,MONTH(АвгВс1+11)=8),АвгВс1+11, "")</f>
        <v>44414</v>
      </c>
      <c r="AG17" s="21">
        <f>IF(AND(YEAR(АвгВс1+12)=Год,MONTH(АвгВс1+12)=8),АвгВс1+12, "")</f>
        <v>44415</v>
      </c>
      <c r="AH17" s="21">
        <f>IF(AND(YEAR(АвгВс1+13)=Год,MONTH(АвгВс1+13)=8),АвгВс1+13, "")</f>
        <v>44416</v>
      </c>
      <c r="AI17" s="24"/>
      <c r="AJ17" s="24"/>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row>
    <row r="18" spans="2:80" ht="12.95" customHeight="1" x14ac:dyDescent="0.25">
      <c r="D18" s="19">
        <f>IF(AND(YEAR(МайВс1+14)=Год,MONTH(МайВс1+14)=5),МайВс1+14, "")</f>
        <v>44326</v>
      </c>
      <c r="E18" s="19">
        <f>IF(AND(YEAR(МайВс1+15)=Год,MONTH(МайВс1+15)=5),МайВс1+15, "")</f>
        <v>44327</v>
      </c>
      <c r="F18" s="19">
        <f>IF(AND(YEAR(МайВс1+16)=Год,MONTH(МайВс1+16)=5),МайВс1+16, "")</f>
        <v>44328</v>
      </c>
      <c r="G18" s="19">
        <f>IF(AND(YEAR(МайВс1+17)=Год,MONTH(МайВс1+17)=5),МайВс1+17, "")</f>
        <v>44329</v>
      </c>
      <c r="H18" s="19">
        <f>IF(AND(YEAR(МайВс1+18)=Год,MONTH(МайВс1+18)=5),МайВс1+18, "")</f>
        <v>44330</v>
      </c>
      <c r="I18" s="19">
        <f>IF(AND(YEAR(МайВс1+19)=Год,MONTH(МайВс1+19)=5),МайВс1+19, "")</f>
        <v>44331</v>
      </c>
      <c r="J18" s="19">
        <f>IF(AND(YEAR(МайВс1+20)=Год,MONTH(МайВс1+20)=5),МайВс1+20, "")</f>
        <v>44332</v>
      </c>
      <c r="K18" s="23"/>
      <c r="L18" s="19">
        <f>IF(AND(YEAR(ИюнВс1+14)=Год,MONTH(ИюнВс1+14)=6),ИюнВс1+14, "")</f>
        <v>44361</v>
      </c>
      <c r="M18" s="19">
        <f>IF(AND(YEAR(ИюнВс1+15)=Год,MONTH(ИюнВс1+15)=6),ИюнВс1+15, "")</f>
        <v>44362</v>
      </c>
      <c r="N18" s="19">
        <f>IF(AND(YEAR(ИюнВс1+16)=Год,MONTH(ИюнВс1+16)=6),ИюнВс1+16, "")</f>
        <v>44363</v>
      </c>
      <c r="O18" s="19">
        <f>IF(AND(YEAR(ИюнВс1+17)=Год,MONTH(ИюнВс1+17)=6),ИюнВс1+17, "")</f>
        <v>44364</v>
      </c>
      <c r="P18" s="19">
        <f>IF(AND(YEAR(ИюнВс1+18)=Год,MONTH(ИюнВс1+18)=6),ИюнВс1+18, "")</f>
        <v>44365</v>
      </c>
      <c r="Q18" s="19">
        <f>IF(AND(YEAR(ИюнВс1+19)=Год,MONTH(ИюнВс1+19)=6),ИюнВс1+19, "")</f>
        <v>44366</v>
      </c>
      <c r="R18" s="19">
        <f>IF(AND(YEAR(ИюнВс1+20)=Год,MONTH(ИюнВс1+20)=6),ИюнВс1+20, "")</f>
        <v>44367</v>
      </c>
      <c r="S18" s="23"/>
      <c r="T18" s="21">
        <f>IF(AND(YEAR(ИюлВс1+14)=Год,MONTH(ИюлВс1+14)=7),ИюлВс1+14, "")</f>
        <v>44389</v>
      </c>
      <c r="U18" s="21">
        <f>IF(AND(YEAR(ИюлВс1+15)=Год,MONTH(ИюлВс1+15)=7),ИюлВс1+15, "")</f>
        <v>44390</v>
      </c>
      <c r="V18" s="21">
        <f>IF(AND(YEAR(ИюлВс1+16)=Год,MONTH(ИюлВс1+16)=7),ИюлВс1+16, "")</f>
        <v>44391</v>
      </c>
      <c r="W18" s="21">
        <f>IF(AND(YEAR(ИюлВс1+17)=Год,MONTH(ИюлВс1+17)=7),ИюлВс1+17, "")</f>
        <v>44392</v>
      </c>
      <c r="X18" s="21">
        <f>IF(AND(YEAR(ИюлВс1+18)=Год,MONTH(ИюлВс1+18)=7),ИюлВс1+18, "")</f>
        <v>44393</v>
      </c>
      <c r="Y18" s="21">
        <f>IF(AND(YEAR(ИюлВс1+19)=Год,MONTH(ИюлВс1+19)=7),ИюлВс1+19, "")</f>
        <v>44394</v>
      </c>
      <c r="Z18" s="21">
        <f>IF(AND(YEAR(ИюлВс1+20)=Год,MONTH(ИюлВс1+20)=7),ИюлВс1+20, "")</f>
        <v>44395</v>
      </c>
      <c r="AA18" s="23"/>
      <c r="AB18" s="21">
        <f>IF(AND(YEAR(АвгВс1+14)=Год,MONTH(АвгВс1+14)=8),АвгВс1+14, "")</f>
        <v>44417</v>
      </c>
      <c r="AC18" s="21">
        <f>IF(AND(YEAR(АвгВс1+15)=Год,MONTH(АвгВс1+15)=8),АвгВс1+15, "")</f>
        <v>44418</v>
      </c>
      <c r="AD18" s="21">
        <f>IF(AND(YEAR(АвгВс1+16)=Год,MONTH(АвгВс1+16)=8),АвгВс1+16, "")</f>
        <v>44419</v>
      </c>
      <c r="AE18" s="21">
        <f>IF(AND(YEAR(АвгВс1+17)=Год,MONTH(АвгВс1+17)=8),АвгВс1+17, "")</f>
        <v>44420</v>
      </c>
      <c r="AF18" s="21">
        <f>IF(AND(YEAR(АвгВс1+18)=Год,MONTH(АвгВс1+18)=8),АвгВс1+18, "")</f>
        <v>44421</v>
      </c>
      <c r="AG18" s="21">
        <f>IF(AND(YEAR(АвгВс1+19)=Год,MONTH(АвгВс1+19)=8),АвгВс1+19, "")</f>
        <v>44422</v>
      </c>
      <c r="AH18" s="21">
        <f>IF(AND(YEAR(АвгВс1+20)=Год,MONTH(АвгВс1+20)=8),АвгВс1+20, "")</f>
        <v>44423</v>
      </c>
      <c r="AI18" s="24"/>
      <c r="AJ18" s="24"/>
    </row>
    <row r="19" spans="2:80" ht="12.95" customHeight="1" x14ac:dyDescent="0.25">
      <c r="D19" s="19">
        <f>IF(AND(YEAR(МайВс1+21)=Год,MONTH(МайВс1+21)=5),МайВс1+21, "")</f>
        <v>44333</v>
      </c>
      <c r="E19" s="19">
        <f>IF(AND(YEAR(МайВс1+22)=Год,MONTH(МайВс1+22)=5),МайВс1+22, "")</f>
        <v>44334</v>
      </c>
      <c r="F19" s="19">
        <f>IF(AND(YEAR(МайВс1+23)=Год,MONTH(МайВс1+23)=5),МайВс1+23, "")</f>
        <v>44335</v>
      </c>
      <c r="G19" s="19">
        <f>IF(AND(YEAR(МайВс1+24)=Год,MONTH(МайВс1+24)=5),МайВс1+24, "")</f>
        <v>44336</v>
      </c>
      <c r="H19" s="19">
        <f>IF(AND(YEAR(МайВс1+25)=Год,MONTH(МайВс1+25)=5),МайВс1+25, "")</f>
        <v>44337</v>
      </c>
      <c r="I19" s="19">
        <f>IF(AND(YEAR(МайВс1+26)=Год,MONTH(МайВс1+26)=5),МайВс1+26, "")</f>
        <v>44338</v>
      </c>
      <c r="J19" s="19">
        <f>IF(AND(YEAR(МайВс1+27)=Год,MONTH(МайВс1+27)=5),МайВс1+27, "")</f>
        <v>44339</v>
      </c>
      <c r="K19" s="23"/>
      <c r="L19" s="19">
        <f>IF(AND(YEAR(ИюнВс1+21)=Год,MONTH(ИюнВс1+21)=6),ИюнВс1+21, "")</f>
        <v>44368</v>
      </c>
      <c r="M19" s="19">
        <f>IF(AND(YEAR(ИюнВс1+22)=Год,MONTH(ИюнВс1+22)=6),ИюнВс1+22, "")</f>
        <v>44369</v>
      </c>
      <c r="N19" s="19">
        <f>IF(AND(YEAR(ИюнВс1+23)=Год,MONTH(ИюнВс1+23)=6),ИюнВс1+23, "")</f>
        <v>44370</v>
      </c>
      <c r="O19" s="19">
        <f>IF(AND(YEAR(ИюнВс1+24)=Год,MONTH(ИюнВс1+24)=6),ИюнВс1+24, "")</f>
        <v>44371</v>
      </c>
      <c r="P19" s="19">
        <f>IF(AND(YEAR(ИюнВс1+25)=Год,MONTH(ИюнВс1+25)=6),ИюнВс1+25, "")</f>
        <v>44372</v>
      </c>
      <c r="Q19" s="19">
        <f>IF(AND(YEAR(ИюнВс1+26)=Год,MONTH(ИюнВс1+26)=6),ИюнВс1+26, "")</f>
        <v>44373</v>
      </c>
      <c r="R19" s="19">
        <f>IF(AND(YEAR(ИюнВс1+27)=Год,MONTH(ИюнВс1+27)=6),ИюнВс1+27, "")</f>
        <v>44374</v>
      </c>
      <c r="S19" s="23"/>
      <c r="T19" s="21">
        <f>IF(AND(YEAR(ИюлВс1+21)=Год,MONTH(ИюлВс1+21)=7),ИюлВс1+21, "")</f>
        <v>44396</v>
      </c>
      <c r="U19" s="21">
        <f>IF(AND(YEAR(ИюлВс1+22)=Год,MONTH(ИюлВс1+22)=7),ИюлВс1+22, "")</f>
        <v>44397</v>
      </c>
      <c r="V19" s="21">
        <f>IF(AND(YEAR(ИюлВс1+23)=Год,MONTH(ИюлВс1+23)=7),ИюлВс1+23, "")</f>
        <v>44398</v>
      </c>
      <c r="W19" s="21">
        <f>IF(AND(YEAR(ИюлВс1+24)=Год,MONTH(ИюлВс1+24)=7),ИюлВс1+24, "")</f>
        <v>44399</v>
      </c>
      <c r="X19" s="21">
        <f>IF(AND(YEAR(ИюлВс1+25)=Год,MONTH(ИюлВс1+25)=7),ИюлВс1+25, "")</f>
        <v>44400</v>
      </c>
      <c r="Y19" s="21">
        <f>IF(AND(YEAR(ИюлВс1+26)=Год,MONTH(ИюлВс1+26)=7),ИюлВс1+26, "")</f>
        <v>44401</v>
      </c>
      <c r="Z19" s="21">
        <f>IF(AND(YEAR(ИюлВс1+27)=Год,MONTH(ИюлВс1+27)=7),ИюлВс1+27, "")</f>
        <v>44402</v>
      </c>
      <c r="AA19" s="23"/>
      <c r="AB19" s="21">
        <f>IF(AND(YEAR(АвгВс1+21)=Год,MONTH(АвгВс1+21)=8),АвгВс1+21, "")</f>
        <v>44424</v>
      </c>
      <c r="AC19" s="21">
        <f>IF(AND(YEAR(АвгВс1+22)=Год,MONTH(АвгВс1+22)=8),АвгВс1+22, "")</f>
        <v>44425</v>
      </c>
      <c r="AD19" s="21">
        <f>IF(AND(YEAR(АвгВс1+23)=Год,MONTH(АвгВс1+23)=8),АвгВс1+23, "")</f>
        <v>44426</v>
      </c>
      <c r="AE19" s="21">
        <f>IF(AND(YEAR(АвгВс1+24)=Год,MONTH(АвгВс1+24)=8),АвгВс1+24, "")</f>
        <v>44427</v>
      </c>
      <c r="AF19" s="21">
        <f>IF(AND(YEAR(АвгВс1+25)=Год,MONTH(АвгВс1+25)=8),АвгВс1+25, "")</f>
        <v>44428</v>
      </c>
      <c r="AG19" s="21">
        <f>IF(AND(YEAR(АвгВс1+26)=Год,MONTH(АвгВс1+26)=8),АвгВс1+26, "")</f>
        <v>44429</v>
      </c>
      <c r="AH19" s="21">
        <f>IF(AND(YEAR(АвгВс1+27)=Год,MONTH(АвгВс1+27)=8),АвгВс1+27, "")</f>
        <v>44430</v>
      </c>
      <c r="AI19" s="24"/>
      <c r="AJ19" s="24"/>
    </row>
    <row r="20" spans="2:80" ht="12.95" customHeight="1" x14ac:dyDescent="0.25">
      <c r="D20" s="19">
        <f>IF(AND(YEAR(МайВс1+28)=Год,MONTH(МайВс1+28)=5),МайВс1+28, "")</f>
        <v>44340</v>
      </c>
      <c r="E20" s="19">
        <f>IF(AND(YEAR(МайВс1+29)=Год,MONTH(МайВс1+29)=5),МайВс1+29, "")</f>
        <v>44341</v>
      </c>
      <c r="F20" s="19">
        <f>IF(AND(YEAR(МайВс1+30)=Год,MONTH(МайВс1+30)=5),МайВс1+30, "")</f>
        <v>44342</v>
      </c>
      <c r="G20" s="19">
        <f>IF(AND(YEAR(МайВс1+31)=Год,MONTH(МайВс1+31)=5),МайВс1+31, "")</f>
        <v>44343</v>
      </c>
      <c r="H20" s="19">
        <f>IF(AND(YEAR(МайВс1+32)=Год,MONTH(МайВс1+32)=5),МайВс1+32, "")</f>
        <v>44344</v>
      </c>
      <c r="I20" s="19">
        <f>IF(AND(YEAR(МайВс1+33)=Год,MONTH(МайВс1+33)=5),МайВс1+33, "")</f>
        <v>44345</v>
      </c>
      <c r="J20" s="19">
        <f>IF(AND(YEAR(МайВс1+34)=Год,MONTH(МайВс1+34)=5),МайВс1+34, "")</f>
        <v>44346</v>
      </c>
      <c r="K20" s="23"/>
      <c r="L20" s="19">
        <f>IF(AND(YEAR(ИюнВс1+28)=Год,MONTH(ИюнВс1+28)=6),ИюнВс1+28, "")</f>
        <v>44375</v>
      </c>
      <c r="M20" s="19">
        <f>IF(AND(YEAR(ИюнВс1+29)=Год,MONTH(ИюнВс1+29)=6),ИюнВс1+29, "")</f>
        <v>44376</v>
      </c>
      <c r="N20" s="19">
        <f>IF(AND(YEAR(ИюнВс1+30)=Год,MONTH(ИюнВс1+30)=6),ИюнВс1+30, "")</f>
        <v>44377</v>
      </c>
      <c r="O20" s="19" t="str">
        <f>IF(AND(YEAR(ИюнВс1+31)=Год,MONTH(ИюнВс1+31)=6),ИюнВс1+31, "")</f>
        <v/>
      </c>
      <c r="P20" s="19" t="str">
        <f>IF(AND(YEAR(ИюнВс1+32)=Год,MONTH(ИюнВс1+32)=6),ИюнВс1+32, "")</f>
        <v/>
      </c>
      <c r="Q20" s="19" t="str">
        <f>IF(AND(YEAR(ИюнВс1+33)=Год,MONTH(ИюнВс1+33)=6),ИюнВс1+33, "")</f>
        <v/>
      </c>
      <c r="R20" s="19" t="str">
        <f>IF(AND(YEAR(ИюнВс1+34)=Год,MONTH(ИюнВс1+34)=6),ИюнВс1+34, "")</f>
        <v/>
      </c>
      <c r="S20" s="23"/>
      <c r="T20" s="21">
        <f>IF(AND(YEAR(ИюлВс1+28)=Год,MONTH(ИюлВс1+28)=7),ИюлВс1+28, "")</f>
        <v>44403</v>
      </c>
      <c r="U20" s="21">
        <f>IF(AND(YEAR(ИюлВс1+29)=Год,MONTH(ИюлВс1+29)=7),ИюлВс1+29, "")</f>
        <v>44404</v>
      </c>
      <c r="V20" s="21">
        <f>IF(AND(YEAR(ИюлВс1+30)=Год,MONTH(ИюлВс1+30)=7),ИюлВс1+30, "")</f>
        <v>44405</v>
      </c>
      <c r="W20" s="21">
        <f>IF(AND(YEAR(ИюлВс1+31)=Год,MONTH(ИюлВс1+31)=7),ИюлВс1+31, "")</f>
        <v>44406</v>
      </c>
      <c r="X20" s="21">
        <f>IF(AND(YEAR(ИюлВс1+32)=Год,MONTH(ИюлВс1+32)=7),ИюлВс1+32, "")</f>
        <v>44407</v>
      </c>
      <c r="Y20" s="21">
        <f>IF(AND(YEAR(ИюлВс1+33)=Год,MONTH(ИюлВс1+33)=7),ИюлВс1+33, "")</f>
        <v>44408</v>
      </c>
      <c r="Z20" s="21" t="str">
        <f>IF(AND(YEAR(ИюлВс1+34)=Год,MONTH(ИюлВс1+34)=7),ИюлВс1+34, "")</f>
        <v/>
      </c>
      <c r="AA20" s="23"/>
      <c r="AB20" s="21">
        <f>IF(AND(YEAR(АвгВс1+28)=Год,MONTH(АвгВс1+28)=8),АвгВс1+28, "")</f>
        <v>44431</v>
      </c>
      <c r="AC20" s="21">
        <f>IF(AND(YEAR(АвгВс1+29)=Год,MONTH(АвгВс1+29)=8),АвгВс1+29, "")</f>
        <v>44432</v>
      </c>
      <c r="AD20" s="21">
        <f>IF(AND(YEAR(АвгВс1+30)=Год,MONTH(АвгВс1+30)=8),АвгВс1+30, "")</f>
        <v>44433</v>
      </c>
      <c r="AE20" s="21">
        <f>IF(AND(YEAR(АвгВс1+31)=Год,MONTH(АвгВс1+31)=8),АвгВс1+31, "")</f>
        <v>44434</v>
      </c>
      <c r="AF20" s="21">
        <f>IF(AND(YEAR(АвгВс1+32)=Год,MONTH(АвгВс1+32)=8),АвгВс1+32, "")</f>
        <v>44435</v>
      </c>
      <c r="AG20" s="21">
        <f>IF(AND(YEAR(АвгВс1+33)=Год,MONTH(АвгВс1+33)=8),АвгВс1+33, "")</f>
        <v>44436</v>
      </c>
      <c r="AH20" s="21">
        <f>IF(AND(YEAR(АвгВс1+34)=Год,MONTH(АвгВс1+34)=8),АвгВс1+34, "")</f>
        <v>44437</v>
      </c>
      <c r="AI20" s="24"/>
      <c r="AJ20" s="24"/>
    </row>
    <row r="21" spans="2:80" ht="12.95" customHeight="1" x14ac:dyDescent="0.25">
      <c r="D21" s="19">
        <f>IF(AND(YEAR(МайВс1+35)=Год,MONTH(МайВс1+35)=5),МайВс1+35, "")</f>
        <v>44347</v>
      </c>
      <c r="E21" s="19" t="str">
        <f>IF(AND(YEAR(МайВс1+36)=Год,MONTH(МайВс1+36)=5),МайВс1+36, "")</f>
        <v/>
      </c>
      <c r="F21" s="19" t="str">
        <f>IF(AND(YEAR(МайВс1+37)=Год,MONTH(МайВс1+37)=5),МайВс1+37, "")</f>
        <v/>
      </c>
      <c r="G21" s="19" t="str">
        <f>IF(AND(YEAR(МайВс1+38)=Год,MONTH(МайВс1+38)=5),МайВс1+38, "")</f>
        <v/>
      </c>
      <c r="H21" s="19" t="str">
        <f>IF(AND(YEAR(МайВс1+39)=Год,MONTH(МайВс1+39)=5),МайВс1+39, "")</f>
        <v/>
      </c>
      <c r="I21" s="19" t="str">
        <f>IF(AND(YEAR(МайВс1+40)=Год,MONTH(МайВс1+40)=5),МайВс1+40, "")</f>
        <v/>
      </c>
      <c r="J21" s="19" t="str">
        <f>IF(AND(YEAR(МайВс1+41)=Год,MONTH(МайВс1+41)=5),МайВс1+41, "")</f>
        <v/>
      </c>
      <c r="K21" s="23"/>
      <c r="L21" s="19" t="str">
        <f>IF(AND(YEAR(ИюнВс1+35)=Год,MONTH(ИюнВс1+35)=6),ИюнВс1+35, "")</f>
        <v/>
      </c>
      <c r="M21" s="19" t="str">
        <f>IF(AND(YEAR(ИюнВс1+36)=Год,MONTH(ИюнВс1+36)=6),ИюнВс1+36, "")</f>
        <v/>
      </c>
      <c r="N21" s="19" t="str">
        <f>IF(AND(YEAR(ИюнВс1+37)=Год,MONTH(ИюнВс1+37)=6),ИюнВс1+37, "")</f>
        <v/>
      </c>
      <c r="O21" s="19" t="str">
        <f>IF(AND(YEAR(ИюнВс1+38)=Год,MONTH(ИюнВс1+38)=6),ИюнВс1+38, "")</f>
        <v/>
      </c>
      <c r="P21" s="19" t="str">
        <f>IF(AND(YEAR(ИюнВс1+39)=Год,MONTH(ИюнВс1+39)=6),ИюнВс1+39, "")</f>
        <v/>
      </c>
      <c r="Q21" s="19" t="str">
        <f>IF(AND(YEAR(ИюнВс1+40)=Год,MONTH(ИюнВс1+40)=6),ИюнВс1+40, "")</f>
        <v/>
      </c>
      <c r="R21" s="19" t="str">
        <f>IF(AND(YEAR(ИюнВс1+41)=Год,MONTH(ИюнВс1+41)=6),ИюнВс1+41, "")</f>
        <v/>
      </c>
      <c r="S21" s="23"/>
      <c r="T21" s="21" t="str">
        <f>IF(AND(YEAR(ИюлВс1+35)=Год,MONTH(ИюлВс1+35)=7),ИюлВс1+35, "")</f>
        <v/>
      </c>
      <c r="U21" s="21" t="str">
        <f>IF(AND(YEAR(ИюлВс1+36)=Год,MONTH(ИюлВс1+36)=7),ИюлВс1+36, "")</f>
        <v/>
      </c>
      <c r="V21" s="21" t="str">
        <f>IF(AND(YEAR(ИюлВс1+37)=Год,MONTH(ИюлВс1+37)=7),ИюлВс1+37, "")</f>
        <v/>
      </c>
      <c r="W21" s="21" t="str">
        <f>IF(AND(YEAR(ИюлВс1+38)=Год,MONTH(ИюлВс1+38)=7),ИюлВс1+38, "")</f>
        <v/>
      </c>
      <c r="X21" s="21" t="str">
        <f>IF(AND(YEAR(ИюлВс1+39)=Год,MONTH(ИюлВс1+39)=7),ИюлВс1+39, "")</f>
        <v/>
      </c>
      <c r="Y21" s="21" t="str">
        <f>IF(AND(YEAR(ИюлВс1+40)=Год,MONTH(ИюлВс1+40)=7),ИюлВс1+40, "")</f>
        <v/>
      </c>
      <c r="Z21" s="21" t="str">
        <f>IF(AND(YEAR(ИюлВс1+41)=Год,MONTH(ИюлВс1+41)=7),ИюлВс1+41, "")</f>
        <v/>
      </c>
      <c r="AA21" s="23"/>
      <c r="AB21" s="21">
        <f>IF(AND(YEAR(АвгВс1+35)=Год,MONTH(АвгВс1+35)=8),АвгВс1+35, "")</f>
        <v>44438</v>
      </c>
      <c r="AC21" s="21">
        <f>IF(AND(YEAR(АвгВс1+36)=Год,MONTH(АвгВс1+36)=8),АвгВс1+36, "")</f>
        <v>44439</v>
      </c>
      <c r="AD21" s="21" t="str">
        <f>IF(AND(YEAR(АвгВс1+37)=Год,MONTH(АвгВс1+37)=8),АвгВс1+37, "")</f>
        <v/>
      </c>
      <c r="AE21" s="21" t="str">
        <f>IF(AND(YEAR(АвгВс1+38)=Год,MONTH(АвгВс1+38)=8),АвгВс1+38, "")</f>
        <v/>
      </c>
      <c r="AF21" s="21" t="str">
        <f>IF(AND(YEAR(АвгВс1+39)=Год,MONTH(АвгВс1+39)=8),АвгВс1+39, "")</f>
        <v/>
      </c>
      <c r="AG21" s="21" t="str">
        <f>IF(AND(YEAR(АвгВс1+40)=Год,MONTH(АвгВс1+40)=8),АвгВс1+40, "")</f>
        <v/>
      </c>
      <c r="AH21" s="21" t="str">
        <f>IF(AND(YEAR(АвгВс1+41)=Год,MONTH(АвгВс1+41)=8),АвгВс1+41, "")</f>
        <v/>
      </c>
      <c r="AI21" s="24"/>
      <c r="AJ21" s="24"/>
    </row>
    <row r="22" spans="2:80" ht="9.9499999999999993" customHeight="1" x14ac:dyDescent="0.25">
      <c r="C22" s="6"/>
      <c r="D22" s="7"/>
      <c r="E22" s="7"/>
      <c r="F22" s="7"/>
      <c r="G22" s="7"/>
      <c r="H22" s="7"/>
      <c r="I22" s="7"/>
      <c r="J22" s="7"/>
      <c r="K22" s="23"/>
      <c r="L22" s="20"/>
      <c r="M22" s="20"/>
      <c r="N22" s="20"/>
      <c r="O22" s="20"/>
      <c r="P22" s="20"/>
      <c r="Q22" s="20"/>
      <c r="R22" s="20"/>
      <c r="S22" s="23"/>
      <c r="T22" s="7"/>
      <c r="U22" s="7"/>
      <c r="V22" s="7"/>
      <c r="W22" s="7"/>
      <c r="X22" s="7"/>
      <c r="Y22" s="7"/>
      <c r="Z22" s="7"/>
      <c r="AA22" s="23"/>
      <c r="AB22" s="7"/>
      <c r="AC22" s="7"/>
      <c r="AD22" s="7"/>
      <c r="AE22" s="7"/>
      <c r="AF22" s="7"/>
      <c r="AG22" s="7"/>
      <c r="AH22" s="7"/>
      <c r="AI22" s="23"/>
      <c r="AJ22" s="24"/>
    </row>
    <row r="23" spans="2:80" s="3" customFormat="1" ht="24" customHeight="1" x14ac:dyDescent="0.35">
      <c r="D23" s="30" t="s">
        <v>3</v>
      </c>
      <c r="E23" s="30"/>
      <c r="F23" s="30"/>
      <c r="G23" s="30"/>
      <c r="H23" s="30"/>
      <c r="I23" s="30"/>
      <c r="J23" s="30"/>
      <c r="K23" s="22"/>
      <c r="L23" s="30" t="s">
        <v>11</v>
      </c>
      <c r="M23" s="30"/>
      <c r="N23" s="30"/>
      <c r="O23" s="30"/>
      <c r="P23" s="30"/>
      <c r="Q23" s="30"/>
      <c r="R23" s="30"/>
      <c r="S23" s="22"/>
      <c r="T23" s="30" t="s">
        <v>14</v>
      </c>
      <c r="U23" s="30"/>
      <c r="V23" s="30"/>
      <c r="W23" s="30"/>
      <c r="X23" s="30"/>
      <c r="Y23" s="30"/>
      <c r="Z23" s="30"/>
      <c r="AA23" s="22"/>
      <c r="AB23" s="30" t="s">
        <v>17</v>
      </c>
      <c r="AC23" s="30"/>
      <c r="AD23" s="30"/>
      <c r="AE23" s="30"/>
      <c r="AF23" s="30"/>
      <c r="AG23" s="30"/>
      <c r="AH23" s="30"/>
      <c r="AI23" s="25"/>
      <c r="AJ23" s="25"/>
    </row>
    <row r="24" spans="2:80" ht="12.95" customHeight="1" x14ac:dyDescent="0.25">
      <c r="C24" s="4"/>
      <c r="D24" s="5" t="s">
        <v>1</v>
      </c>
      <c r="E24" s="5" t="s">
        <v>4</v>
      </c>
      <c r="F24" s="5" t="s">
        <v>5</v>
      </c>
      <c r="G24" s="5" t="s">
        <v>6</v>
      </c>
      <c r="H24" s="5" t="s">
        <v>7</v>
      </c>
      <c r="I24" s="5" t="s">
        <v>8</v>
      </c>
      <c r="J24" s="1" t="s">
        <v>18</v>
      </c>
      <c r="K24" s="23"/>
      <c r="L24" s="5" t="s">
        <v>1</v>
      </c>
      <c r="M24" s="5" t="s">
        <v>4</v>
      </c>
      <c r="N24" s="5" t="s">
        <v>5</v>
      </c>
      <c r="O24" s="5" t="s">
        <v>6</v>
      </c>
      <c r="P24" s="5" t="s">
        <v>7</v>
      </c>
      <c r="Q24" s="5" t="s">
        <v>8</v>
      </c>
      <c r="R24" s="1" t="s">
        <v>18</v>
      </c>
      <c r="S24" s="24"/>
      <c r="T24" s="5" t="s">
        <v>1</v>
      </c>
      <c r="U24" s="5" t="s">
        <v>4</v>
      </c>
      <c r="V24" s="5" t="s">
        <v>5</v>
      </c>
      <c r="W24" s="5" t="s">
        <v>6</v>
      </c>
      <c r="X24" s="5" t="s">
        <v>7</v>
      </c>
      <c r="Y24" s="5" t="s">
        <v>8</v>
      </c>
      <c r="Z24" s="1" t="s">
        <v>18</v>
      </c>
      <c r="AA24" s="24"/>
      <c r="AB24" s="5" t="s">
        <v>1</v>
      </c>
      <c r="AC24" s="5" t="s">
        <v>4</v>
      </c>
      <c r="AD24" s="5" t="s">
        <v>5</v>
      </c>
      <c r="AE24" s="5" t="s">
        <v>6</v>
      </c>
      <c r="AF24" s="5" t="s">
        <v>7</v>
      </c>
      <c r="AG24" s="5" t="s">
        <v>8</v>
      </c>
      <c r="AH24" s="1" t="s">
        <v>18</v>
      </c>
      <c r="AI24" s="24"/>
      <c r="AJ24" s="24"/>
    </row>
    <row r="25" spans="2:80" ht="12.95" customHeight="1" x14ac:dyDescent="0.25">
      <c r="D25" s="21" t="str">
        <f>IF(AND(YEAR(СенВс1)=Год,MONTH(СенВс1)=9),СенВс1, "")</f>
        <v/>
      </c>
      <c r="E25" s="21" t="str">
        <f>IF(AND(YEAR(СенВс1+1)=Год,MONTH(СенВс1+1)=9),СенВс1+1, "")</f>
        <v/>
      </c>
      <c r="F25" s="21">
        <f>IF(AND(YEAR(СенВс1+2)=Год,MONTH(СенВс1+2)=9),СенВс1+2, "")</f>
        <v>44440</v>
      </c>
      <c r="G25" s="21">
        <f>IF(AND(YEAR(СенВс1+3)=Год,MONTH(СенВс1+3)=9),СенВс1+3, "")</f>
        <v>44441</v>
      </c>
      <c r="H25" s="21">
        <f>IF(AND(YEAR(СенВс1+4)=Год,MONTH(СенВс1+4)=9),СенВс1+4, "")</f>
        <v>44442</v>
      </c>
      <c r="I25" s="21">
        <f>IF(AND(YEAR(СенВс1+5)=Год,MONTH(СенВс1+5)=9),СенВс1+5, "")</f>
        <v>44443</v>
      </c>
      <c r="J25" s="21">
        <f>IF(AND(YEAR(СенВс1+6)=Год,MONTH(СенВс1+6)=9),СенВс1+6, "")</f>
        <v>44444</v>
      </c>
      <c r="K25" s="23"/>
      <c r="L25" s="21" t="str">
        <f>IF(AND(YEAR(ОктВс1)=Год,MONTH(ОктВс1)=10),ОктВс1, "")</f>
        <v/>
      </c>
      <c r="M25" s="21" t="str">
        <f>IF(AND(YEAR(ОктВс1+1)=Год,MONTH(ОктВс1+1)=10),ОктВс1+1, "")</f>
        <v/>
      </c>
      <c r="N25" s="21" t="str">
        <f>IF(AND(YEAR(ОктВс1+2)=Год,MONTH(ОктВс1+2)=10),ОктВс1+2, "")</f>
        <v/>
      </c>
      <c r="O25" s="21" t="str">
        <f>IF(AND(YEAR(ОктВс1+3)=Год,MONTH(ОктВс1+3)=10),ОктВс1+3, "")</f>
        <v/>
      </c>
      <c r="P25" s="21">
        <f>IF(AND(YEAR(ОктВс1+4)=Год,MONTH(ОктВс1+4)=10),ОктВс1+4, "")</f>
        <v>44470</v>
      </c>
      <c r="Q25" s="21">
        <f>IF(AND(YEAR(ОктВс1+5)=Год,MONTH(ОктВс1+5)=10),ОктВс1+5, "")</f>
        <v>44471</v>
      </c>
      <c r="R25" s="21">
        <f>IF(AND(YEAR(ОктВс1+6)=Год,MONTH(ОктВс1+6)=10),ОктВс1+6, "")</f>
        <v>44472</v>
      </c>
      <c r="S25" s="24"/>
      <c r="T25" s="21">
        <f>IF(AND(YEAR(НояВс1)=Год,MONTH(НояВс1)=11),НояВс1, "")</f>
        <v>44501</v>
      </c>
      <c r="U25" s="21">
        <f>IF(AND(YEAR(НояВс1+1)=Год,MONTH(НояВс1+1)=11),НояВс1+1, "")</f>
        <v>44502</v>
      </c>
      <c r="V25" s="21">
        <f>IF(AND(YEAR(НояВс1+2)=Год,MONTH(НояВс1+2)=11),НояВс1+2, "")</f>
        <v>44503</v>
      </c>
      <c r="W25" s="21">
        <f>IF(AND(YEAR(НояВс1+3)=Год,MONTH(НояВс1+3)=11),НояВс1+3, "")</f>
        <v>44504</v>
      </c>
      <c r="X25" s="21">
        <f>IF(AND(YEAR(НояВс1+4)=Год,MONTH(НояВс1+4)=11),НояВс1+4, "")</f>
        <v>44505</v>
      </c>
      <c r="Y25" s="21">
        <f>IF(AND(YEAR(НояВс1+5)=Год,MONTH(НояВс1+5)=11),НояВс1+5, "")</f>
        <v>44506</v>
      </c>
      <c r="Z25" s="21">
        <f>IF(AND(YEAR(НояВс1+6)=Год,MONTH(НояВс1+6)=11),НояВс1+6, "")</f>
        <v>44507</v>
      </c>
      <c r="AA25" s="24"/>
      <c r="AB25" s="21" t="str">
        <f>IF(AND(YEAR(ДекВс1)=Год,MONTH(ДекВс1)=12),ДекВс1, "")</f>
        <v/>
      </c>
      <c r="AC25" s="21" t="str">
        <f>IF(AND(YEAR(ДекВс1+1)=Год,MONTH(ДекВс1+1)=12),ДекВс1+1, "")</f>
        <v/>
      </c>
      <c r="AD25" s="21">
        <f>IF(AND(YEAR(ДекВс1+2)=Год,MONTH(ДекВс1+2)=12),ДекВс1+2, "")</f>
        <v>44531</v>
      </c>
      <c r="AE25" s="21">
        <f>IF(AND(YEAR(ДекВс1+3)=Год,MONTH(ДекВс1+3)=12),ДекВс1+3, "")</f>
        <v>44532</v>
      </c>
      <c r="AF25" s="21">
        <f>IF(AND(YEAR(ДекВс1+4)=Год,MONTH(ДекВс1+4)=12),ДекВс1+4, "")</f>
        <v>44533</v>
      </c>
      <c r="AG25" s="21">
        <f>IF(AND(YEAR(ДекВс1+5)=Год,MONTH(ДекВс1+5)=12),ДекВс1+5, "")</f>
        <v>44534</v>
      </c>
      <c r="AH25" s="21">
        <f>IF(AND(YEAR(ДекВс1+6)=Год,MONTH(ДекВс1+6)=12),ДекВс1+6, "")</f>
        <v>44535</v>
      </c>
      <c r="AI25" s="24"/>
      <c r="AJ25" s="24"/>
    </row>
    <row r="26" spans="2:80" ht="12.95" customHeight="1" x14ac:dyDescent="0.25">
      <c r="D26" s="21">
        <f>IF(AND(YEAR(СенВс1+7)=Год,MONTH(СенВс1+7)=9),СенВс1+7, "")</f>
        <v>44445</v>
      </c>
      <c r="E26" s="21">
        <f>IF(AND(YEAR(СенВс1+8)=Год,MONTH(СенВс1+8)=9),СенВс1+8, "")</f>
        <v>44446</v>
      </c>
      <c r="F26" s="21">
        <f>IF(AND(YEAR(СенВс1+9)=Год,MONTH(СенВс1+9)=9),СенВс1+9, "")</f>
        <v>44447</v>
      </c>
      <c r="G26" s="21">
        <f>IF(AND(YEAR(СенВс1+10)=Год,MONTH(СенВс1+10)=9),СенВс1+10, "")</f>
        <v>44448</v>
      </c>
      <c r="H26" s="21">
        <f>IF(AND(YEAR(СенВс1+11)=Год,MONTH(СенВс1+11)=9),СенВс1+11, "")</f>
        <v>44449</v>
      </c>
      <c r="I26" s="21">
        <f>IF(AND(YEAR(СенВс1+12)=Год,MONTH(СенВс1+12)=9),СенВс1+12, "")</f>
        <v>44450</v>
      </c>
      <c r="J26" s="21">
        <f>IF(AND(YEAR(СенВс1+13)=Год,MONTH(СенВс1+13)=9),СенВс1+13, "")</f>
        <v>44451</v>
      </c>
      <c r="K26" s="23"/>
      <c r="L26" s="21">
        <f>IF(AND(YEAR(ОктВс1+7)=Год,MONTH(ОктВс1+7)=10),ОктВс1+7, "")</f>
        <v>44473</v>
      </c>
      <c r="M26" s="21">
        <f>IF(AND(YEAR(ОктВс1+8)=Год,MONTH(ОктВс1+8)=10),ОктВс1+8, "")</f>
        <v>44474</v>
      </c>
      <c r="N26" s="21">
        <f>IF(AND(YEAR(ОктВс1+9)=Год,MONTH(ОктВс1+9)=10),ОктВс1+9, "")</f>
        <v>44475</v>
      </c>
      <c r="O26" s="21">
        <f>IF(AND(YEAR(ОктВс1+10)=Год,MONTH(ОктВс1+10)=10),ОктВс1+10, "")</f>
        <v>44476</v>
      </c>
      <c r="P26" s="21">
        <f>IF(AND(YEAR(ОктВс1+11)=Год,MONTH(ОктВс1+11)=10),ОктВс1+11, "")</f>
        <v>44477</v>
      </c>
      <c r="Q26" s="21">
        <f>IF(AND(YEAR(ОктВс1+12)=Год,MONTH(ОктВс1+12)=10),ОктВс1+12, "")</f>
        <v>44478</v>
      </c>
      <c r="R26" s="21">
        <f>IF(AND(YEAR(ОктВс1+13)=Год,MONTH(ОктВс1+13)=10),ОктВс1+13, "")</f>
        <v>44479</v>
      </c>
      <c r="S26" s="24"/>
      <c r="T26" s="21">
        <f>IF(AND(YEAR(НояВс1+7)=Год,MONTH(НояВс1+7)=11),НояВс1+7, "")</f>
        <v>44508</v>
      </c>
      <c r="U26" s="21">
        <f>IF(AND(YEAR(НояВс1+8)=Год,MONTH(НояВс1+8)=11),НояВс1+8, "")</f>
        <v>44509</v>
      </c>
      <c r="V26" s="21">
        <f>IF(AND(YEAR(НояВс1+9)=Год,MONTH(НояВс1+9)=11),НояВс1+9, "")</f>
        <v>44510</v>
      </c>
      <c r="W26" s="21">
        <f>IF(AND(YEAR(НояВс1+10)=Год,MONTH(НояВс1+10)=11),НояВс1+10, "")</f>
        <v>44511</v>
      </c>
      <c r="X26" s="21">
        <f>IF(AND(YEAR(НояВс1+11)=Год,MONTH(НояВс1+11)=11),НояВс1+11, "")</f>
        <v>44512</v>
      </c>
      <c r="Y26" s="21">
        <f>IF(AND(YEAR(НояВс1+12)=Год,MONTH(НояВс1+12)=11),НояВс1+12, "")</f>
        <v>44513</v>
      </c>
      <c r="Z26" s="21">
        <f>IF(AND(YEAR(НояВс1+13)=Год,MONTH(НояВс1+13)=11),НояВс1+13, "")</f>
        <v>44514</v>
      </c>
      <c r="AA26" s="24"/>
      <c r="AB26" s="21">
        <f>IF(AND(YEAR(ДекВс1+7)=Год,MONTH(ДекВс1+7)=12),ДекВс1+7, "")</f>
        <v>44536</v>
      </c>
      <c r="AC26" s="21">
        <f>IF(AND(YEAR(ДекВс1+8)=Год,MONTH(ДекВс1+8)=12),ДекВс1+8, "")</f>
        <v>44537</v>
      </c>
      <c r="AD26" s="21">
        <f>IF(AND(YEAR(ДекВс1+9)=Год,MONTH(ДекВс1+9)=12),ДекВс1+9, "")</f>
        <v>44538</v>
      </c>
      <c r="AE26" s="21">
        <f>IF(AND(YEAR(ДекВс1+10)=Год,MONTH(ДекВс1+10)=12),ДекВс1+10, "")</f>
        <v>44539</v>
      </c>
      <c r="AF26" s="21">
        <f>IF(AND(YEAR(ДекВс1+11)=Год,MONTH(ДекВс1+11)=12),ДекВс1+11, "")</f>
        <v>44540</v>
      </c>
      <c r="AG26" s="21">
        <f>IF(AND(YEAR(ДекВс1+12)=Год,MONTH(ДекВс1+12)=12),ДекВс1+12, "")</f>
        <v>44541</v>
      </c>
      <c r="AH26" s="21">
        <f>IF(AND(YEAR(ДекВс1+13)=Год,MONTH(ДекВс1+13)=12),ДекВс1+13, "")</f>
        <v>44542</v>
      </c>
      <c r="AI26" s="24"/>
      <c r="AJ26" s="24"/>
      <c r="AV26" s="18">
        <v>2010</v>
      </c>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row>
    <row r="27" spans="2:80" ht="12.95" customHeight="1" x14ac:dyDescent="0.25">
      <c r="D27" s="21">
        <f>IF(AND(YEAR(СенВс1+14)=Год,MONTH(СенВс1+14)=9),СенВс1+14, "")</f>
        <v>44452</v>
      </c>
      <c r="E27" s="21">
        <f>IF(AND(YEAR(СенВс1+15)=Год,MONTH(СенВс1+15)=9),СенВс1+15, "")</f>
        <v>44453</v>
      </c>
      <c r="F27" s="21">
        <f>IF(AND(YEAR(СенВс1+16)=Год,MONTH(СенВс1+16)=9),СенВс1+16, "")</f>
        <v>44454</v>
      </c>
      <c r="G27" s="21">
        <f>IF(AND(YEAR(СенВс1+17)=Год,MONTH(СенВс1+17)=9),СенВс1+17, "")</f>
        <v>44455</v>
      </c>
      <c r="H27" s="21">
        <f>IF(AND(YEAR(СенВс1+18)=Год,MONTH(СенВс1+18)=9),СенВс1+18, "")</f>
        <v>44456</v>
      </c>
      <c r="I27" s="21">
        <f>IF(AND(YEAR(СенВс1+19)=Год,MONTH(СенВс1+19)=9),СенВс1+19, "")</f>
        <v>44457</v>
      </c>
      <c r="J27" s="21">
        <f>IF(AND(YEAR(СенВс1+20)=Год,MONTH(СенВс1+20)=9),СенВс1+20, "")</f>
        <v>44458</v>
      </c>
      <c r="K27" s="23"/>
      <c r="L27" s="21">
        <f>IF(AND(YEAR(ОктВс1+14)=Год,MONTH(ОктВс1+14)=10),ОктВс1+14, "")</f>
        <v>44480</v>
      </c>
      <c r="M27" s="21">
        <f>IF(AND(YEAR(ОктВс1+15)=Год,MONTH(ОктВс1+15)=10),ОктВс1+15, "")</f>
        <v>44481</v>
      </c>
      <c r="N27" s="21">
        <f>IF(AND(YEAR(ОктВс1+16)=Год,MONTH(ОктВс1+16)=10),ОктВс1+16, "")</f>
        <v>44482</v>
      </c>
      <c r="O27" s="21">
        <f>IF(AND(YEAR(ОктВс1+17)=Год,MONTH(ОктВс1+17)=10),ОктВс1+17, "")</f>
        <v>44483</v>
      </c>
      <c r="P27" s="21">
        <f>IF(AND(YEAR(ОктВс1+18)=Год,MONTH(ОктВс1+18)=10),ОктВс1+18, "")</f>
        <v>44484</v>
      </c>
      <c r="Q27" s="21">
        <f>IF(AND(YEAR(ОктВс1+19)=Год,MONTH(ОктВс1+19)=10),ОктВс1+19, "")</f>
        <v>44485</v>
      </c>
      <c r="R27" s="21">
        <f>IF(AND(YEAR(ОктВс1+20)=Год,MONTH(ОктВс1+20)=10),ОктВс1+20, "")</f>
        <v>44486</v>
      </c>
      <c r="S27" s="24"/>
      <c r="T27" s="21">
        <f>IF(AND(YEAR(НояВс1+14)=Год,MONTH(НояВс1+14)=11),НояВс1+14, "")</f>
        <v>44515</v>
      </c>
      <c r="U27" s="21">
        <f>IF(AND(YEAR(НояВс1+15)=Год,MONTH(НояВс1+15)=11),НояВс1+15, "")</f>
        <v>44516</v>
      </c>
      <c r="V27" s="21">
        <f>IF(AND(YEAR(НояВс1+16)=Год,MONTH(НояВс1+16)=11),НояВс1+16, "")</f>
        <v>44517</v>
      </c>
      <c r="W27" s="21">
        <f>IF(AND(YEAR(НояВс1+17)=Год,MONTH(НояВс1+17)=11),НояВс1+17, "")</f>
        <v>44518</v>
      </c>
      <c r="X27" s="21">
        <f>IF(AND(YEAR(НояВс1+18)=Год,MONTH(НояВс1+18)=11),НояВс1+18, "")</f>
        <v>44519</v>
      </c>
      <c r="Y27" s="21">
        <f>IF(AND(YEAR(НояВс1+19)=Год,MONTH(НояВс1+19)=11),НояВс1+19, "")</f>
        <v>44520</v>
      </c>
      <c r="Z27" s="21">
        <f>IF(AND(YEAR(НояВс1+20)=Год,MONTH(НояВс1+20)=11),НояВс1+20, "")</f>
        <v>44521</v>
      </c>
      <c r="AA27" s="24"/>
      <c r="AB27" s="21">
        <f>IF(AND(YEAR(ДекВс1+14)=Год,MONTH(ДекВс1+14)=12),ДекВс1+14, "")</f>
        <v>44543</v>
      </c>
      <c r="AC27" s="21">
        <f>IF(AND(YEAR(ДекВс1+15)=Год,MONTH(ДекВс1+15)=12),ДекВс1+15, "")</f>
        <v>44544</v>
      </c>
      <c r="AD27" s="21">
        <f>IF(AND(YEAR(ДекВс1+16)=Год,MONTH(ДекВс1+16)=12),ДекВс1+16, "")</f>
        <v>44545</v>
      </c>
      <c r="AE27" s="21">
        <f>IF(AND(YEAR(ДекВс1+17)=Год,MONTH(ДекВс1+17)=12),ДекВс1+17, "")</f>
        <v>44546</v>
      </c>
      <c r="AF27" s="21">
        <f>IF(AND(YEAR(ДекВс1+18)=Год,MONTH(ДекВс1+18)=12),ДекВс1+18, "")</f>
        <v>44547</v>
      </c>
      <c r="AG27" s="21">
        <f>IF(AND(YEAR(ДекВс1+19)=Год,MONTH(ДекВс1+19)=12),ДекВс1+19, "")</f>
        <v>44548</v>
      </c>
      <c r="AH27" s="21">
        <f>IF(AND(YEAR(ДекВс1+20)=Год,MONTH(ДекВс1+20)=12),ДекВс1+20, "")</f>
        <v>44549</v>
      </c>
      <c r="AI27" s="24"/>
      <c r="AJ27" s="24"/>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row>
    <row r="28" spans="2:80" ht="12.95" customHeight="1" x14ac:dyDescent="0.25">
      <c r="D28" s="21">
        <f>IF(AND(YEAR(СенВс1+21)=Год,MONTH(СенВс1+21)=9),СенВс1+21, "")</f>
        <v>44459</v>
      </c>
      <c r="E28" s="21">
        <f>IF(AND(YEAR(СенВс1+22)=Год,MONTH(СенВс1+22)=9),СенВс1+22, "")</f>
        <v>44460</v>
      </c>
      <c r="F28" s="21">
        <f>IF(AND(YEAR(СенВс1+23)=Год,MONTH(СенВс1+23)=9),СенВс1+23, "")</f>
        <v>44461</v>
      </c>
      <c r="G28" s="21">
        <f>IF(AND(YEAR(СенВс1+24)=Год,MONTH(СенВс1+24)=9),СенВс1+24, "")</f>
        <v>44462</v>
      </c>
      <c r="H28" s="21">
        <f>IF(AND(YEAR(СенВс1+25)=Год,MONTH(СенВс1+25)=9),СенВс1+25, "")</f>
        <v>44463</v>
      </c>
      <c r="I28" s="21">
        <f>IF(AND(YEAR(СенВс1+26)=Год,MONTH(СенВс1+26)=9),СенВс1+26, "")</f>
        <v>44464</v>
      </c>
      <c r="J28" s="21">
        <f>IF(AND(YEAR(СенВс1+27)=Год,MONTH(СенВс1+27)=9),СенВс1+27, "")</f>
        <v>44465</v>
      </c>
      <c r="K28" s="23"/>
      <c r="L28" s="21">
        <f>IF(AND(YEAR(ОктВс1+21)=Год,MONTH(ОктВс1+21)=10),ОктВс1+21, "")</f>
        <v>44487</v>
      </c>
      <c r="M28" s="21">
        <f>IF(AND(YEAR(ОктВс1+22)=Год,MONTH(ОктВс1+22)=10),ОктВс1+22, "")</f>
        <v>44488</v>
      </c>
      <c r="N28" s="21">
        <f>IF(AND(YEAR(ОктВс1+23)=Год,MONTH(ОктВс1+23)=10),ОктВс1+23, "")</f>
        <v>44489</v>
      </c>
      <c r="O28" s="21">
        <f>IF(AND(YEAR(ОктВс1+24)=Год,MONTH(ОктВс1+24)=10),ОктВс1+24, "")</f>
        <v>44490</v>
      </c>
      <c r="P28" s="21">
        <f>IF(AND(YEAR(ОктВс1+25)=Год,MONTH(ОктВс1+25)=10),ОктВс1+25, "")</f>
        <v>44491</v>
      </c>
      <c r="Q28" s="21">
        <f>IF(AND(YEAR(ОктВс1+26)=Год,MONTH(ОктВс1+26)=10),ОктВс1+26, "")</f>
        <v>44492</v>
      </c>
      <c r="R28" s="21">
        <f>IF(AND(YEAR(ОктВс1+27)=Год,MONTH(ОктВс1+27)=10),ОктВс1+27, "")</f>
        <v>44493</v>
      </c>
      <c r="S28" s="24"/>
      <c r="T28" s="21">
        <f>IF(AND(YEAR(НояВс1+21)=Год,MONTH(НояВс1+21)=11),НояВс1+21, "")</f>
        <v>44522</v>
      </c>
      <c r="U28" s="21">
        <f>IF(AND(YEAR(НояВс1+22)=Год,MONTH(НояВс1+22)=11),НояВс1+22, "")</f>
        <v>44523</v>
      </c>
      <c r="V28" s="21">
        <f>IF(AND(YEAR(НояВс1+23)=Год,MONTH(НояВс1+23)=11),НояВс1+23, "")</f>
        <v>44524</v>
      </c>
      <c r="W28" s="21">
        <f>IF(AND(YEAR(НояВс1+24)=Год,MONTH(НояВс1+24)=11),НояВс1+24, "")</f>
        <v>44525</v>
      </c>
      <c r="X28" s="21">
        <f>IF(AND(YEAR(НояВс1+25)=Год,MONTH(НояВс1+25)=11),НояВс1+25, "")</f>
        <v>44526</v>
      </c>
      <c r="Y28" s="21">
        <f>IF(AND(YEAR(НояВс1+26)=Год,MONTH(НояВс1+26)=11),НояВс1+26, "")</f>
        <v>44527</v>
      </c>
      <c r="Z28" s="21">
        <f>IF(AND(YEAR(НояВс1+27)=Год,MONTH(НояВс1+27)=11),НояВс1+27, "")</f>
        <v>44528</v>
      </c>
      <c r="AA28" s="24"/>
      <c r="AB28" s="21">
        <f>IF(AND(YEAR(ДекВс1+21)=Год,MONTH(ДекВс1+21)=12),ДекВс1+21, "")</f>
        <v>44550</v>
      </c>
      <c r="AC28" s="21">
        <f>IF(AND(YEAR(ДекВс1+22)=Год,MONTH(ДекВс1+22)=12),ДекВс1+22, "")</f>
        <v>44551</v>
      </c>
      <c r="AD28" s="21">
        <f>IF(AND(YEAR(ДекВс1+23)=Год,MONTH(ДекВс1+23)=12),ДекВс1+23, "")</f>
        <v>44552</v>
      </c>
      <c r="AE28" s="21">
        <f>IF(AND(YEAR(ДекВс1+24)=Год,MONTH(ДекВс1+24)=12),ДекВс1+24, "")</f>
        <v>44553</v>
      </c>
      <c r="AF28" s="21">
        <f>IF(AND(YEAR(ДекВс1+25)=Год,MONTH(ДекВс1+25)=12),ДекВс1+25, "")</f>
        <v>44554</v>
      </c>
      <c r="AG28" s="21">
        <f>IF(AND(YEAR(ДекВс1+26)=Год,MONTH(ДекВс1+26)=12),ДекВс1+26, "")</f>
        <v>44555</v>
      </c>
      <c r="AH28" s="21">
        <f>IF(AND(YEAR(ДекВс1+27)=Год,MONTH(ДекВс1+27)=12),ДекВс1+27, "")</f>
        <v>44556</v>
      </c>
      <c r="AI28" s="24"/>
      <c r="AJ28" s="24"/>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row>
    <row r="29" spans="2:80" ht="12.95" customHeight="1" x14ac:dyDescent="0.25">
      <c r="D29" s="21">
        <f>IF(AND(YEAR(СенВс1+28)=Год,MONTH(СенВс1+28)=9),СенВс1+28, "")</f>
        <v>44466</v>
      </c>
      <c r="E29" s="21">
        <f>IF(AND(YEAR(СенВс1+29)=Год,MONTH(СенВс1+29)=9),СенВс1+29, "")</f>
        <v>44467</v>
      </c>
      <c r="F29" s="21">
        <f>IF(AND(YEAR(СенВс1+30)=Год,MONTH(СенВс1+30)=9),СенВс1+30, "")</f>
        <v>44468</v>
      </c>
      <c r="G29" s="21">
        <f>IF(AND(YEAR(СенВс1+31)=Год,MONTH(СенВс1+31)=9),СенВс1+31, "")</f>
        <v>44469</v>
      </c>
      <c r="H29" s="21" t="str">
        <f>IF(AND(YEAR(СенВс1+32)=Год,MONTH(СенВс1+32)=9),СенВс1+32, "")</f>
        <v/>
      </c>
      <c r="I29" s="21" t="str">
        <f>IF(AND(YEAR(СенВс1+33)=Год,MONTH(СенВс1+33)=9),СенВс1+33, "")</f>
        <v/>
      </c>
      <c r="J29" s="21" t="str">
        <f>IF(AND(YEAR(СенВс1+34)=Год,MONTH(СенВс1+34)=9),СенВс1+34, "")</f>
        <v/>
      </c>
      <c r="K29" s="23"/>
      <c r="L29" s="21">
        <f>IF(AND(YEAR(ОктВс1+28)=Год,MONTH(ОктВс1+28)=10),ОктВс1+28, "")</f>
        <v>44494</v>
      </c>
      <c r="M29" s="21">
        <f>IF(AND(YEAR(ОктВс1+29)=Год,MONTH(ОктВс1+29)=10),ОктВс1+29, "")</f>
        <v>44495</v>
      </c>
      <c r="N29" s="21">
        <f>IF(AND(YEAR(ОктВс1+30)=Год,MONTH(ОктВс1+30)=10),ОктВс1+30, "")</f>
        <v>44496</v>
      </c>
      <c r="O29" s="21">
        <f>IF(AND(YEAR(ОктВс1+31)=Год,MONTH(ОктВс1+31)=10),ОктВс1+31, "")</f>
        <v>44497</v>
      </c>
      <c r="P29" s="21">
        <f>IF(AND(YEAR(ОктВс1+32)=Год,MONTH(ОктВс1+32)=10),ОктВс1+32, "")</f>
        <v>44498</v>
      </c>
      <c r="Q29" s="21">
        <f>IF(AND(YEAR(ОктВс1+33)=Год,MONTH(ОктВс1+33)=10),ОктВс1+33, "")</f>
        <v>44499</v>
      </c>
      <c r="R29" s="21">
        <f>IF(AND(YEAR(ОктВс1+34)=Год,MONTH(ОктВс1+34)=10),ОктВс1+34, "")</f>
        <v>44500</v>
      </c>
      <c r="S29" s="24"/>
      <c r="T29" s="21">
        <f>IF(AND(YEAR(НояВс1+28)=Год,MONTH(НояВс1+28)=11),НояВс1+28, "")</f>
        <v>44529</v>
      </c>
      <c r="U29" s="21">
        <f>IF(AND(YEAR(НояВс1+29)=Год,MONTH(НояВс1+29)=11),НояВс1+29, "")</f>
        <v>44530</v>
      </c>
      <c r="V29" s="21" t="str">
        <f>IF(AND(YEAR(НояВс1+30)=Год,MONTH(НояВс1+30)=11),НояВс1+30, "")</f>
        <v/>
      </c>
      <c r="W29" s="21" t="str">
        <f>IF(AND(YEAR(НояВс1+31)=Год,MONTH(НояВс1+31)=11),НояВс1+31, "")</f>
        <v/>
      </c>
      <c r="X29" s="21" t="str">
        <f>IF(AND(YEAR(НояВс1+32)=Год,MONTH(НояВс1+32)=11),НояВс1+32, "")</f>
        <v/>
      </c>
      <c r="Y29" s="21" t="str">
        <f>IF(AND(YEAR(НояВс1+33)=Год,MONTH(НояВс1+33)=11),НояВс1+33, "")</f>
        <v/>
      </c>
      <c r="Z29" s="21" t="str">
        <f>IF(AND(YEAR(НояВс1+34)=Год,MONTH(НояВс1+34)=11),НояВс1+34, "")</f>
        <v/>
      </c>
      <c r="AA29" s="24"/>
      <c r="AB29" s="21">
        <f>IF(AND(YEAR(ДекВс1+28)=Год,MONTH(ДекВс1+28)=12),ДекВс1+28, "")</f>
        <v>44557</v>
      </c>
      <c r="AC29" s="21">
        <f>IF(AND(YEAR(ДекВс1+29)=Год,MONTH(ДекВс1+29)=12),ДекВс1+29, "")</f>
        <v>44558</v>
      </c>
      <c r="AD29" s="21">
        <f>IF(AND(YEAR(ДекВс1+30)=Год,MONTH(ДекВс1+30)=12),ДекВс1+30, "")</f>
        <v>44559</v>
      </c>
      <c r="AE29" s="21">
        <f>IF(AND(YEAR(ДекВс1+31)=Год,MONTH(ДекВс1+31)=12),ДекВс1+31, "")</f>
        <v>44560</v>
      </c>
      <c r="AF29" s="21">
        <f>IF(AND(YEAR(ДекВс1+32)=Год,MONTH(ДекВс1+32)=12),ДекВс1+32, "")</f>
        <v>44561</v>
      </c>
      <c r="AG29" s="21" t="str">
        <f>IF(AND(YEAR(ДекВс1+33)=Год,MONTH(ДекВс1+33)=12),ДекВс1+33, "")</f>
        <v/>
      </c>
      <c r="AH29" s="21" t="str">
        <f>IF(AND(YEAR(ДекВс1+34)=Год,MONTH(ДекВс1+34)=12),ДекВс1+34, "")</f>
        <v/>
      </c>
      <c r="AI29" s="24"/>
      <c r="AJ29" s="24"/>
      <c r="AT29" s="13"/>
    </row>
    <row r="30" spans="2:80" ht="12.95" customHeight="1" x14ac:dyDescent="0.25">
      <c r="D30" s="21" t="str">
        <f>IF(AND(YEAR(СенВс1+35)=Год,MONTH(СенВс1+35)=9),СенВс1+35, "")</f>
        <v/>
      </c>
      <c r="E30" s="21" t="str">
        <f>IF(AND(YEAR(СенВс1+36)=Год,MONTH(СенВс1+36)=9),СенВс1+36, "")</f>
        <v/>
      </c>
      <c r="F30" s="21" t="str">
        <f>IF(AND(YEAR(СенВс1+37)=Год,MONTH(СенВс1+37)=9),СенВс1+37, "")</f>
        <v/>
      </c>
      <c r="G30" s="21" t="str">
        <f>IF(AND(YEAR(СенВс1+38)=Год,MONTH(СенВс1+38)=9),СенВс1+38, "")</f>
        <v/>
      </c>
      <c r="H30" s="21" t="str">
        <f>IF(AND(YEAR(СенВс1+39)=Год,MONTH(СенВс1+39)=9),СенВс1+39, "")</f>
        <v/>
      </c>
      <c r="I30" s="21" t="str">
        <f>IF(AND(YEAR(СенВс1+40)=Год,MONTH(СенВс1+40)=9),СенВс1+40, "")</f>
        <v/>
      </c>
      <c r="J30" s="21" t="str">
        <f>IF(AND(YEAR(СенВс1+41)=Год,MONTH(СенВс1+41)=9),СенВс1+41, "")</f>
        <v/>
      </c>
      <c r="K30" s="23"/>
      <c r="L30" s="21" t="str">
        <f>IF(AND(YEAR(ОктВс1+35)=Год,MONTH(ОктВс1+35)=10),ОктВс1+35, "")</f>
        <v/>
      </c>
      <c r="M30" s="21" t="str">
        <f>IF(AND(YEAR(ОктВс1+36)=Год,MONTH(ОктВс1+36)=10),ОктВс1+36, "")</f>
        <v/>
      </c>
      <c r="N30" s="21" t="str">
        <f>IF(AND(YEAR(ОктВс1+37)=Год,MONTH(ОктВс1+37)=10),ОктВс1+37, "")</f>
        <v/>
      </c>
      <c r="O30" s="21" t="str">
        <f>IF(AND(YEAR(ОктВс1+38)=Год,MONTH(ОктВс1+38)=10),ОктВс1+38, "")</f>
        <v/>
      </c>
      <c r="P30" s="21" t="str">
        <f>IF(AND(YEAR(ОктВс1+39)=Год,MONTH(ОктВс1+39)=10),ОктВс1+39, "")</f>
        <v/>
      </c>
      <c r="Q30" s="21" t="str">
        <f>IF(AND(YEAR(ОктВс1+40)=Год,MONTH(ОктВс1+40)=10),ОктВс1+40, "")</f>
        <v/>
      </c>
      <c r="R30" s="21" t="str">
        <f>IF(AND(YEAR(ОктВс1+41)=Год,MONTH(ОктВс1+41)=10),ОктВс1+41, "")</f>
        <v/>
      </c>
      <c r="S30" s="24"/>
      <c r="T30" s="21" t="str">
        <f>IF(AND(YEAR(НояВс1+35)=Год,MONTH(НояВс1+35)=11),НояВс1+35, "")</f>
        <v/>
      </c>
      <c r="U30" s="21" t="str">
        <f>IF(AND(YEAR(НояВс1+36)=Год,MONTH(НояВс1+36)=11),НояВс1+36, "")</f>
        <v/>
      </c>
      <c r="V30" s="21" t="str">
        <f>IF(AND(YEAR(НояВс1+37)=Год,MONTH(НояВс1+37)=11),НояВс1+37, "")</f>
        <v/>
      </c>
      <c r="W30" s="21" t="str">
        <f>IF(AND(YEAR(НояВс1+38)=Год,MONTH(НояВс1+38)=11),НояВс1+38, "")</f>
        <v/>
      </c>
      <c r="X30" s="21" t="str">
        <f>IF(AND(YEAR(НояВс1+39)=Год,MONTH(НояВс1+39)=11),НояВс1+39, "")</f>
        <v/>
      </c>
      <c r="Y30" s="21" t="str">
        <f>IF(AND(YEAR(НояВс1+40)=Год,MONTH(НояВс1+40)=11),НояВс1+40, "")</f>
        <v/>
      </c>
      <c r="Z30" s="21" t="str">
        <f>IF(AND(YEAR(НояВс1+41)=Год,MONTH(НояВс1+41)=11),НояВс1+41, "")</f>
        <v/>
      </c>
      <c r="AA30" s="24"/>
      <c r="AB30" s="21" t="str">
        <f>IF(AND(YEAR(ДекВс1+35)=Год,MONTH(ДекВс1+35)=12),ДекВс1+35, "")</f>
        <v/>
      </c>
      <c r="AC30" s="21" t="str">
        <f>IF(AND(YEAR(ДекВс1+36)=Год,MONTH(ДекВс1+36)=12),ДекВс1+36, "")</f>
        <v/>
      </c>
      <c r="AD30" s="21" t="str">
        <f>IF(AND(YEAR(ДекВс1+37)=Год,MONTH(ДекВс1+37)=12),ДекВс1+37, "")</f>
        <v/>
      </c>
      <c r="AE30" s="21" t="str">
        <f>IF(AND(YEAR(ДекВс1+38)=Год,MONTH(ДекВс1+38)=12),ДекВс1+38, "")</f>
        <v/>
      </c>
      <c r="AF30" s="21" t="str">
        <f>IF(AND(YEAR(ДекВс1+39)=Год,MONTH(ДекВс1+39)=12),ДекВс1+39, "")</f>
        <v/>
      </c>
      <c r="AG30" s="21" t="str">
        <f>IF(AND(YEAR(ДекВс1+40)=Год,MONTH(ДекВс1+40)=12),ДекВс1+40, "")</f>
        <v/>
      </c>
      <c r="AH30" s="21" t="str">
        <f>IF(AND(YEAR(ДекВс1+41)=Год,MONTH(ДекВс1+41)=12),ДекВс1+41, "")</f>
        <v/>
      </c>
      <c r="AI30" s="24"/>
      <c r="AJ30" s="24"/>
    </row>
    <row r="31" spans="2:80" ht="21" customHeight="1" x14ac:dyDescent="0.25">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row>
    <row r="32" spans="2:80" ht="9.75" customHeight="1" x14ac:dyDescent="0.25">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2:36" ht="9.75" customHeight="1" x14ac:dyDescent="0.25">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row>
    <row r="34" spans="2:36" ht="33.75" customHeight="1" x14ac:dyDescent="0.25">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row>
    <row r="35" spans="2:36" ht="21.75" customHeight="1" x14ac:dyDescent="0.25">
      <c r="Z35" s="6"/>
      <c r="AH35" s="6"/>
    </row>
    <row r="36" spans="2:36" x14ac:dyDescent="0.25">
      <c r="Z36" s="6"/>
      <c r="AH36" s="6"/>
    </row>
    <row r="37" spans="2:36" x14ac:dyDescent="0.25">
      <c r="Z37" s="6"/>
      <c r="AH37" s="6"/>
    </row>
    <row r="38" spans="2:36" x14ac:dyDescent="0.25">
      <c r="Z38" s="6"/>
      <c r="AH38" s="6"/>
    </row>
    <row r="39" spans="2:36" x14ac:dyDescent="0.25">
      <c r="Z39" s="6"/>
      <c r="AH39" s="6"/>
    </row>
    <row r="41" spans="2:36" x14ac:dyDescent="0.25">
      <c r="D41" s="3"/>
      <c r="E41" s="3"/>
      <c r="F41" s="3"/>
      <c r="G41" s="3"/>
      <c r="H41" s="3"/>
      <c r="I41" s="3"/>
      <c r="J41" s="3"/>
      <c r="L41" s="14"/>
      <c r="M41" s="14"/>
      <c r="N41" s="14"/>
      <c r="O41" s="14"/>
      <c r="P41" s="14"/>
      <c r="Q41" s="14"/>
      <c r="R41" s="14"/>
    </row>
    <row r="42" spans="2:36" x14ac:dyDescent="0.25">
      <c r="L42" s="14"/>
      <c r="M42" s="14"/>
      <c r="N42" s="14"/>
      <c r="O42" s="14"/>
      <c r="P42" s="14"/>
      <c r="Q42" s="14"/>
      <c r="R42" s="14"/>
    </row>
    <row r="43" spans="2:36" x14ac:dyDescent="0.25">
      <c r="L43" s="14"/>
      <c r="M43" s="14"/>
      <c r="N43" s="14"/>
      <c r="O43" s="14"/>
      <c r="P43" s="14"/>
      <c r="Q43" s="14"/>
      <c r="R43" s="14"/>
    </row>
    <row r="50" spans="4:34" ht="20.25" x14ac:dyDescent="0.35">
      <c r="D50" s="15"/>
      <c r="E50" s="14"/>
      <c r="F50" s="14"/>
      <c r="G50" s="14"/>
      <c r="H50" s="14"/>
      <c r="I50" s="14"/>
      <c r="J50" s="14"/>
      <c r="T50" s="14"/>
      <c r="U50" s="14"/>
      <c r="V50" s="14"/>
      <c r="W50" s="14"/>
      <c r="X50" s="14"/>
      <c r="Y50" s="14"/>
      <c r="Z50" s="14"/>
      <c r="AB50" s="8"/>
      <c r="AC50" s="8"/>
      <c r="AD50" s="8"/>
      <c r="AE50" s="8"/>
      <c r="AF50" s="8"/>
      <c r="AG50" s="8"/>
      <c r="AH50" s="8"/>
    </row>
    <row r="51" spans="4:34" x14ac:dyDescent="0.25">
      <c r="D51" s="14"/>
      <c r="E51" s="14"/>
      <c r="F51" s="14"/>
      <c r="G51" s="14"/>
      <c r="H51" s="14"/>
      <c r="I51" s="14"/>
      <c r="J51" s="14"/>
      <c r="T51" s="14"/>
      <c r="U51" s="14"/>
      <c r="V51" s="14"/>
      <c r="W51" s="14"/>
      <c r="X51" s="14"/>
      <c r="Y51" s="14"/>
      <c r="Z51" s="14"/>
      <c r="AB51" s="8"/>
      <c r="AC51" s="8"/>
      <c r="AD51" s="8"/>
      <c r="AE51" s="8"/>
      <c r="AF51" s="8"/>
      <c r="AG51" s="8"/>
      <c r="AH51" s="8"/>
    </row>
    <row r="52" spans="4:34" x14ac:dyDescent="0.25">
      <c r="D52" s="14"/>
      <c r="E52" s="14"/>
      <c r="F52" s="14"/>
      <c r="G52" s="14"/>
      <c r="H52" s="14"/>
      <c r="I52" s="14"/>
      <c r="J52" s="14"/>
      <c r="T52" s="14"/>
      <c r="U52" s="14"/>
      <c r="V52" s="14"/>
      <c r="W52" s="14"/>
      <c r="X52" s="14"/>
      <c r="Y52" s="14"/>
      <c r="Z52" s="14"/>
    </row>
  </sheetData>
  <mergeCells count="21">
    <mergeCell ref="D23:J23"/>
    <mergeCell ref="D5:J5"/>
    <mergeCell ref="L5:R5"/>
    <mergeCell ref="L23:R23"/>
    <mergeCell ref="T23:Z23"/>
    <mergeCell ref="AJ2:AJ4"/>
    <mergeCell ref="B2:B4"/>
    <mergeCell ref="B31:AJ34"/>
    <mergeCell ref="Z2:AI4"/>
    <mergeCell ref="G2:Y4"/>
    <mergeCell ref="C2:C4"/>
    <mergeCell ref="D2:D4"/>
    <mergeCell ref="E2:E4"/>
    <mergeCell ref="F2:F4"/>
    <mergeCell ref="AB23:AH23"/>
    <mergeCell ref="T5:Z5"/>
    <mergeCell ref="AB5:AH5"/>
    <mergeCell ref="D14:J14"/>
    <mergeCell ref="L14:R14"/>
    <mergeCell ref="T14:Z14"/>
    <mergeCell ref="AB14:AH14"/>
  </mergeCells>
  <phoneticPr fontId="1" type="noConversion"/>
  <dataValidations count="2">
    <dataValidation type="whole" allowBlank="1" showInputMessage="1" showErrorMessage="1" sqref="AM5 AV26 AP3" xr:uid="{00000000-0002-0000-0000-000000000000}">
      <formula1>"1900"</formula1>
      <formula2>9999</formula2>
    </dataValidation>
    <dataValidation type="whole" allowBlank="1" showInputMessage="1" showErrorMessage="1" sqref="Z2:AI4" xr:uid="{00000000-0002-0000-0000-000001000000}">
      <formula1>1900</formula1>
      <formula2>9999</formula2>
    </dataValidation>
  </dataValidations>
  <printOptions horizontalCentered="1" verticalCentered="1"/>
  <pageMargins left="0" right="0" top="0" bottom="0" header="0" footer="0"/>
  <pageSetup paperSize="9" orientation="landscape" horizontalDpi="525" verticalDpi="525" r:id="rId1"/>
  <headerFooter scaleWithDoc="0"/>
  <drawing r:id="rId2"/>
  <legacyDrawing r:id="rId3"/>
  <mc:AlternateContent xmlns:mc="http://schemas.openxmlformats.org/markup-compatibility/2006">
    <mc:Choice Requires="x14">
      <controls>
        <mc:AlternateContent xmlns:mc="http://schemas.openxmlformats.org/markup-compatibility/2006">
          <mc:Choice Requires="x14">
            <control shapeId="1046" r:id="rId4" name="Счетчик 21">
              <controlPr defaultSize="0" print="0" autoPict="0">
                <anchor>
                  <from>
                    <xdr:col>34</xdr:col>
                    <xdr:colOff>28575</xdr:colOff>
                    <xdr:row>2</xdr:row>
                    <xdr:rowOff>171450</xdr:rowOff>
                  </from>
                  <to>
                    <xdr:col>34</xdr:col>
                    <xdr:colOff>209550</xdr:colOff>
                    <xdr:row>3</xdr:row>
                    <xdr:rowOff>123825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rketSpecific xmlns="4873beb7-5857-4685-be1f-d57550cc96cc">false</MarketSpecific>
    <ApprovalStatus xmlns="4873beb7-5857-4685-be1f-d57550cc96cc">InProgress</ApprovalStatus>
    <ThumbnailAssetId xmlns="4873beb7-5857-4685-be1f-d57550cc96cc" xsi:nil="true"/>
    <PrimaryImageGen xmlns="4873beb7-5857-4685-be1f-d57550cc96cc">true</PrimaryImageGen>
    <ApprovalLog xmlns="4873beb7-5857-4685-be1f-d57550cc96cc" xsi:nil="true"/>
    <AssetType xmlns="4873beb7-5857-4685-be1f-d57550cc96cc">TP</AssetType>
    <BugNumber xmlns="4873beb7-5857-4685-be1f-d57550cc96cc" xsi:nil="true"/>
    <LegacyData xmlns="4873beb7-5857-4685-be1f-d57550cc96cc" xsi:nil="true"/>
    <Milestone xmlns="4873beb7-5857-4685-be1f-d57550cc96cc" xsi:nil="true"/>
    <BlockPublish xmlns="4873beb7-5857-4685-be1f-d57550cc96cc">false</BlockPublish>
    <BusinessGroup xmlns="4873beb7-5857-4685-be1f-d57550cc96cc" xsi:nil="true"/>
    <AssetId xmlns="4873beb7-5857-4685-be1f-d57550cc96cc">TP102347561</AssetId>
    <SourceTitle xmlns="4873beb7-5857-4685-be1f-d57550cc96cc" xsi:nil="true"/>
    <OpenTemplate xmlns="4873beb7-5857-4685-be1f-d57550cc96cc">true</OpenTemplate>
    <TrustLevel xmlns="4873beb7-5857-4685-be1f-d57550cc96cc">1 Microsoft Managed Content</TrustLevel>
    <PublishStatusLookup xmlns="4873beb7-5857-4685-be1f-d57550cc96cc">
      <Value>1086693</Value>
      <Value>1317223</Value>
    </PublishStatusLookup>
    <LocLastLocAttemptVersionLookup xmlns="4873beb7-5857-4685-be1f-d57550cc96cc">113240</LocLastLocAttemptVersionLookup>
    <TemplateTemplateType xmlns="4873beb7-5857-4685-be1f-d57550cc96cc">Excel Spreadsheet Template</TemplateTemplateType>
    <IsSearchable xmlns="4873beb7-5857-4685-be1f-d57550cc96cc">true</IsSearchable>
    <Providers xmlns="4873beb7-5857-4685-be1f-d57550cc96cc" xsi:nil="true"/>
    <Markets xmlns="4873beb7-5857-4685-be1f-d57550cc96cc"/>
    <APDescription xmlns="4873beb7-5857-4685-be1f-d57550cc96cc">This Excel 2010 calendar is targeted at small business users but can be adapted for any audience. Use the built in automation to select any year and then customize it with your company name and logo.</APDescription>
    <ClipArtFilename xmlns="4873beb7-5857-4685-be1f-d57550cc96cc" xsi:nil="true"/>
    <APAuthor xmlns="4873beb7-5857-4685-be1f-d57550cc96cc">
      <UserInfo>
        <DisplayName>REDMOND\v-salaxm</DisplayName>
        <AccountId>2098</AccountId>
        <AccountType/>
      </UserInfo>
    </APAuthor>
    <EditorialStatus xmlns="4873beb7-5857-4685-be1f-d57550cc96cc" xsi:nil="true"/>
    <PublishTargets xmlns="4873beb7-5857-4685-be1f-d57550cc96cc">OfficeOnline</PublishTargets>
    <AssetStart xmlns="4873beb7-5857-4685-be1f-d57550cc96cc">2010-11-22T06:51:00+00:00</AssetStart>
    <Provider xmlns="4873beb7-5857-4685-be1f-d57550cc96cc" xsi:nil="true"/>
    <AcquiredFrom xmlns="4873beb7-5857-4685-be1f-d57550cc96cc">Internal MS</AcquiredFrom>
    <FriendlyTitle xmlns="4873beb7-5857-4685-be1f-d57550cc96cc" xsi:nil="true"/>
    <UALocRecommendation xmlns="4873beb7-5857-4685-be1f-d57550cc96cc">Localize</UALocRecommendation>
    <ShowIn xmlns="4873beb7-5857-4685-be1f-d57550cc96cc">Show everywhere</ShowIn>
    <UANotes xmlns="4873beb7-5857-4685-be1f-d57550cc96cc" xsi:nil="true"/>
    <TemplateStatus xmlns="4873beb7-5857-4685-be1f-d57550cc96cc" xsi:nil="true"/>
    <AssetExpire xmlns="4873beb7-5857-4685-be1f-d57550cc96cc">2029-05-12T07:00:00+00:00</AssetExpire>
    <DSATActionTaken xmlns="4873beb7-5857-4685-be1f-d57550cc96cc" xsi:nil="true"/>
    <EditorialTags xmlns="4873beb7-5857-4685-be1f-d57550cc96cc" xsi:nil="true"/>
    <CampaignTagsTaxHTField0 xmlns="4873beb7-5857-4685-be1f-d57550cc96cc">
      <Terms xmlns="http://schemas.microsoft.com/office/infopath/2007/PartnerControls"/>
    </CampaignTagsTaxHTField0>
    <IntlLangReviewDate xmlns="4873beb7-5857-4685-be1f-d57550cc96cc" xsi:nil="true"/>
    <TPFriendlyName xmlns="4873beb7-5857-4685-be1f-d57550cc96cc" xsi:nil="true"/>
    <IntlLangReview xmlns="4873beb7-5857-4685-be1f-d57550cc96cc">false</IntlLangReview>
    <PolicheckWords xmlns="4873beb7-5857-4685-be1f-d57550cc96cc" xsi:nil="true"/>
    <SubmitterId xmlns="4873beb7-5857-4685-be1f-d57550cc96cc" xsi:nil="true"/>
    <OriginAsset xmlns="4873beb7-5857-4685-be1f-d57550cc96cc" xsi:nil="true"/>
    <TPNamespace xmlns="4873beb7-5857-4685-be1f-d57550cc96cc" xsi:nil="true"/>
    <TPCommandLine xmlns="4873beb7-5857-4685-be1f-d57550cc96cc" xsi:nil="true"/>
    <IntlLangReviewer xmlns="4873beb7-5857-4685-be1f-d57550cc96cc" xsi:nil="true"/>
    <CSXSubmissionDate xmlns="4873beb7-5857-4685-be1f-d57550cc96cc" xsi:nil="true"/>
    <TaxCatchAll xmlns="4873beb7-5857-4685-be1f-d57550cc96cc"/>
    <Manager xmlns="4873beb7-5857-4685-be1f-d57550cc96cc" xsi:nil="true"/>
    <NumericId xmlns="4873beb7-5857-4685-be1f-d57550cc96cc" xsi:nil="true"/>
    <ParentAssetId xmlns="4873beb7-5857-4685-be1f-d57550cc96cc" xsi:nil="true"/>
    <OriginalSourceMarket xmlns="4873beb7-5857-4685-be1f-d57550cc96cc" xsi:nil="true"/>
    <TPComponent xmlns="4873beb7-5857-4685-be1f-d57550cc96cc" xsi:nil="true"/>
    <TPExecutable xmlns="4873beb7-5857-4685-be1f-d57550cc96cc" xsi:nil="true"/>
    <TPLaunchHelpLink xmlns="4873beb7-5857-4685-be1f-d57550cc96cc" xsi:nil="true"/>
    <LocComments xmlns="4873beb7-5857-4685-be1f-d57550cc96cc" xsi:nil="true"/>
    <LocRecommendedHandoff xmlns="4873beb7-5857-4685-be1f-d57550cc96cc" xsi:nil="true"/>
    <CSXUpdate xmlns="4873beb7-5857-4685-be1f-d57550cc96cc">false</CSXUpdate>
    <IntlLocPriority xmlns="4873beb7-5857-4685-be1f-d57550cc96cc" xsi:nil="true"/>
    <UAProjectedTotalWords xmlns="4873beb7-5857-4685-be1f-d57550cc96cc" xsi:nil="true"/>
    <MachineTranslated xmlns="4873beb7-5857-4685-be1f-d57550cc96cc">false</MachineTranslated>
    <OutputCachingOn xmlns="4873beb7-5857-4685-be1f-d57550cc96cc">false</OutputCachingOn>
    <ContentItem xmlns="4873beb7-5857-4685-be1f-d57550cc96cc" xsi:nil="true"/>
    <HandoffToMSDN xmlns="4873beb7-5857-4685-be1f-d57550cc96cc" xsi:nil="true"/>
    <UALocComments xmlns="4873beb7-5857-4685-be1f-d57550cc96cc" xsi:nil="true"/>
    <LastModifiedDateTime xmlns="4873beb7-5857-4685-be1f-d57550cc96cc" xsi:nil="true"/>
    <LocManualTestRequired xmlns="4873beb7-5857-4685-be1f-d57550cc96cc">false</LocManualTestRequired>
    <TPApplication xmlns="4873beb7-5857-4685-be1f-d57550cc96cc" xsi:nil="true"/>
    <CSXHash xmlns="4873beb7-5857-4685-be1f-d57550cc96cc" xsi:nil="true"/>
    <DirectSourceMarket xmlns="4873beb7-5857-4685-be1f-d57550cc96cc" xsi:nil="true"/>
    <PlannedPubDate xmlns="4873beb7-5857-4685-be1f-d57550cc96cc" xsi:nil="true"/>
    <CSXSubmissionMarket xmlns="4873beb7-5857-4685-be1f-d57550cc96cc" xsi:nil="true"/>
    <Downloads xmlns="4873beb7-5857-4685-be1f-d57550cc96cc">0</Downloads>
    <ArtSampleDocs xmlns="4873beb7-5857-4685-be1f-d57550cc96cc" xsi:nil="true"/>
    <TPLaunchHelpLinkType xmlns="4873beb7-5857-4685-be1f-d57550cc96cc">Template</TPLaunchHelpLinkType>
    <LocalizationTagsTaxHTField0 xmlns="4873beb7-5857-4685-be1f-d57550cc96cc">
      <Terms xmlns="http://schemas.microsoft.com/office/infopath/2007/PartnerControls"/>
    </LocalizationTagsTaxHTField0>
    <TimesCloned xmlns="4873beb7-5857-4685-be1f-d57550cc96cc" xsi:nil="true"/>
    <TPAppVersion xmlns="4873beb7-5857-4685-be1f-d57550cc96cc" xsi:nil="true"/>
    <VoteCount xmlns="4873beb7-5857-4685-be1f-d57550cc96cc" xsi:nil="true"/>
    <AverageRating xmlns="4873beb7-5857-4685-be1f-d57550cc96cc" xsi:nil="true"/>
    <FeatureTagsTaxHTField0 xmlns="4873beb7-5857-4685-be1f-d57550cc96cc">
      <Terms xmlns="http://schemas.microsoft.com/office/infopath/2007/PartnerControls"/>
    </FeatureTagsTaxHTField0>
    <UACurrentWords xmlns="4873beb7-5857-4685-be1f-d57550cc96cc" xsi:nil="true"/>
    <TPClientViewer xmlns="4873beb7-5857-4685-be1f-d57550cc96cc" xsi:nil="true"/>
    <APEditor xmlns="4873beb7-5857-4685-be1f-d57550cc96cc">
      <UserInfo>
        <DisplayName/>
        <AccountId xsi:nil="true"/>
        <AccountType/>
      </UserInfo>
    </APEditor>
    <TPInstallLocation xmlns="4873beb7-5857-4685-be1f-d57550cc96cc" xsi:nil="true"/>
    <OOCacheId xmlns="4873beb7-5857-4685-be1f-d57550cc96cc" xsi:nil="true"/>
    <IsDeleted xmlns="4873beb7-5857-4685-be1f-d57550cc96cc">false</IsDeleted>
    <CrawlForDependencies xmlns="4873beb7-5857-4685-be1f-d57550cc96cc">false</CrawlForDependencies>
    <InternalTagsTaxHTField0 xmlns="4873beb7-5857-4685-be1f-d57550cc96cc">
      <Terms xmlns="http://schemas.microsoft.com/office/infopath/2007/PartnerControls"/>
    </InternalTagsTaxHTField0>
    <LastHandOff xmlns="4873beb7-5857-4685-be1f-d57550cc96cc" xsi:nil="true"/>
    <OriginalRelease xmlns="4873beb7-5857-4685-be1f-d57550cc96cc" xsi:nil="true"/>
    <RecommendationsModifier xmlns="4873beb7-5857-4685-be1f-d57550cc96cc" xsi:nil="true"/>
    <ScenarioTagsTaxHTField0 xmlns="4873beb7-5857-4685-be1f-d57550cc96cc">
      <Terms xmlns="http://schemas.microsoft.com/office/infopath/2007/PartnerControls"/>
    </ScenarioTagsTaxHTField0>
    <LocMarketGroupTiers2 xmlns="4873beb7-5857-4685-be1f-d57550cc96cc" xsi:nil="true"/>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DAC6BEA-0360-4C8C-8F7A-E9E99E275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B20EC5-8F6F-4A72-AB46-5F973018757B}">
  <ds:schemaRefs>
    <ds:schemaRef ds:uri="http://schemas.microsoft.com/office/2006/metadata/properties"/>
    <ds:schemaRef ds:uri="http://schemas.microsoft.com/office/infopath/2007/PartnerControls"/>
    <ds:schemaRef ds:uri="4873beb7-5857-4685-be1f-d57550cc96cc"/>
  </ds:schemaRefs>
</ds:datastoreItem>
</file>

<file path=customXml/itemProps3.xml><?xml version="1.0" encoding="utf-8"?>
<ds:datastoreItem xmlns:ds="http://schemas.openxmlformats.org/officeDocument/2006/customXml" ds:itemID="{B6534818-5B37-46AF-A367-D9C1DFA126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Календарь</vt:lpstr>
      <vt:lpstr>Год</vt:lpstr>
      <vt:lpstr>Календарь!Область_печати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 year business calendar</dc:title>
  <dc:creator/>
  <cp:lastModifiedBy/>
  <dcterms:created xsi:type="dcterms:W3CDTF">2011-12-13T18:49:56Z</dcterms:created>
  <dcterms:modified xsi:type="dcterms:W3CDTF">2020-09-25T19:40:13Z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TC102741249990</vt:lpwstr>
  </property>
  <property fmtid="{D5CDD505-2E9C-101B-9397-08002B2CF9AE}" pid="3" name="ContentTypeId">
    <vt:lpwstr>0x0101006EDDDB5EE6D98C44930B742096920B300400F5B6D36B3EF94B4E9A635CDF2A18F5B8</vt:lpwstr>
  </property>
  <property fmtid="{D5CDD505-2E9C-101B-9397-08002B2CF9AE}" pid="4" name="InternalTags">
    <vt:lpwstr/>
  </property>
  <property fmtid="{D5CDD505-2E9C-101B-9397-08002B2CF9AE}" pid="5" name="LocalizationTags">
    <vt:lpwstr/>
  </property>
  <property fmtid="{D5CDD505-2E9C-101B-9397-08002B2CF9AE}" pid="6" name="FeatureTags">
    <vt:lpwstr/>
  </property>
  <property fmtid="{D5CDD505-2E9C-101B-9397-08002B2CF9AE}" pid="7" name="ScenarioTags">
    <vt:lpwstr/>
  </property>
  <property fmtid="{D5CDD505-2E9C-101B-9397-08002B2CF9AE}" pid="8" name="CampaignTags">
    <vt:lpwstr/>
  </property>
  <property fmtid="{D5CDD505-2E9C-101B-9397-08002B2CF9AE}" pid="9" name="TBCO_ScreenResolution">
    <vt:lpwstr>96 96 1920 1080</vt:lpwstr>
  </property>
</Properties>
</file>